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T:\Verordnungen und Stoffbeschränkungen\CMRT Konflikt-Mineralien Dodd-Frank-Act\"/>
    </mc:Choice>
  </mc:AlternateContent>
  <xr:revisionPtr revIDLastSave="0" documentId="13_ncr:1_{D23343F5-BF7B-4039-B0B1-8F91F09D644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90" yWindow="0" windowWidth="19380" windowHeight="2097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B5" i="5"/>
  <c r="C5"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<sst xmlns="http://schemas.openxmlformats.org/spreadsheetml/2006/main" count="22529" uniqueCount="15864">
  <si>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</si>
  <si>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</si>
  <si>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</si>
  <si>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</si>
  <si>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</si>
  <si>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</si>
  <si>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</si>
  <si>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</si>
  <si>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</si>
  <si>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</si>
  <si>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</si>
  <si>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</si>
  <si>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</si>
  <si>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</si>
  <si>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</si>
  <si>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</si>
  <si>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</si>
  <si>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</si>
  <si>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</si>
  <si>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</si>
  <si>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</si>
  <si>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</si>
  <si>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</si>
  <si>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</si>
  <si>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</si>
  <si>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</si>
  <si>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</si>
  <si>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</si>
  <si>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</si>
  <si>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</si>
  <si>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</si>
  <si>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</si>
  <si>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</si>
  <si>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</si>
  <si>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</si>
  <si>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</si>
  <si>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</si>
  <si>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</si>
  <si>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</si>
  <si>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</si>
  <si>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</si>
  <si>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</si>
  <si>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</si>
  <si>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</si>
  <si>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</si>
  <si>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</si>
  <si>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</si>
  <si>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</si>
  <si>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</si>
  <si>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</si>
  <si>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</si>
  <si>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</si>
  <si>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</si>
  <si>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</si>
  <si>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</si>
  <si>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</si>
  <si>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</si>
  <si>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</si>
  <si>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</si>
  <si>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</si>
  <si>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</si>
  <si>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</si>
  <si>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</si>
  <si>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</si>
  <si>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</si>
  <si>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</si>
  <si>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</si>
  <si>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</si>
  <si>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</si>
  <si>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</si>
  <si>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</si>
  <si>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</si>
  <si>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</si>
  <si>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</si>
  <si>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</si>
  <si>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</si>
  <si>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</si>
  <si>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</si>
  <si>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</si>
  <si>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</si>
  <si>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</si>
  <si>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</si>
  <si>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</si>
  <si>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</si>
  <si>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</si>
  <si>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</si>
  <si>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</si>
  <si>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</si>
  <si>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</si>
  <si>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</si>
  <si>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</si>
  <si>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</si>
  <si>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</si>
  <si>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</si>
  <si>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</si>
  <si>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</si>
  <si>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</si>
  <si>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</si>
  <si>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</si>
  <si>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</si>
  <si>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</si>
  <si>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</si>
  <si>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</si>
  <si>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</si>
  <si>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</si>
  <si>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</si>
  <si>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</si>
  <si>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</si>
  <si>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</si>
  <si>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</si>
  <si>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</si>
  <si>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</si>
  <si>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</si>
  <si>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</si>
  <si>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</si>
  <si>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</si>
  <si>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</si>
  <si>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</si>
  <si>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</si>
  <si>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</si>
  <si>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</si>
  <si>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</si>
  <si>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</si>
  <si>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</si>
  <si>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</si>
  <si>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</si>
  <si>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</si>
  <si>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</si>
  <si>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</si>
  <si>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</si>
  <si>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</si>
  <si>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</si>
  <si>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</si>
  <si>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</si>
  <si>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</si>
  <si>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</si>
  <si>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</si>
  <si>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</si>
  <si>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</si>
  <si>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</si>
  <si>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</si>
  <si>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</si>
  <si>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</si>
  <si>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</si>
  <si>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</si>
  <si>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</si>
  <si>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</si>
  <si>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</si>
  <si>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</si>
  <si>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</si>
  <si>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</si>
  <si>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</si>
  <si>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</si>
  <si>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</si>
  <si>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</si>
  <si>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</si>
  <si>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</si>
  <si>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</si>
  <si>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</si>
  <si>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</si>
  <si>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</si>
  <si>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</si>
  <si>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</si>
  <si>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</si>
  <si>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</si>
  <si>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</si>
  <si>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</si>
  <si>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</si>
  <si>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</si>
  <si>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</si>
  <si>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</si>
  <si>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</si>
  <si>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</si>
  <si>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</si>
  <si>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</si>
  <si>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</si>
  <si>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</si>
  <si>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</si>
  <si>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</si>
  <si>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</si>
  <si>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</si>
  <si>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</si>
  <si>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</si>
  <si>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</si>
  <si>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</si>
  <si>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</si>
  <si>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</si>
  <si>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</si>
  <si>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</si>
  <si>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</si>
  <si>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</si>
  <si>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</si>
  <si>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</si>
  <si>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</si>
  <si>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</si>
  <si>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</si>
  <si>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</si>
  <si>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</si>
  <si>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</si>
  <si>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</si>
  <si>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</si>
  <si>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</si>
  <si>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</si>
  <si>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</si>
  <si>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</si>
  <si>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</si>
  <si>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</si>
  <si>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</si>
  <si>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</si>
  <si>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</si>
  <si>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</si>
  <si>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</si>
  <si>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</si>
  <si>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</si>
  <si>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</si>
  <si>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</si>
  <si>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</si>
  <si>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</si>
  <si>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</si>
  <si>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</si>
  <si>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</si>
  <si>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</si>
  <si>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</si>
  <si>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</si>
  <si>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</si>
  <si>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</si>
  <si>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</si>
  <si>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</si>
  <si>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</si>
  <si>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</si>
  <si>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</si>
  <si>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</si>
  <si>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</si>
  <si>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</si>
  <si>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</si>
  <si>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</si>
  <si>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</si>
  <si>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</si>
  <si>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</si>
  <si>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</si>
  <si>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</si>
  <si>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</si>
  <si>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</si>
  <si>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</si>
  <si>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</si>
  <si>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</si>
  <si>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</si>
  <si>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</si>
  <si>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</si>
  <si>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</si>
  <si>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</si>
  <si>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</si>
  <si>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</si>
  <si>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</si>
  <si>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</si>
  <si>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</si>
  <si>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</si>
  <si>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</si>
  <si>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</si>
  <si>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</si>
  <si>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</si>
  <si>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</si>
  <si>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</si>
  <si>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</si>
  <si>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</si>
  <si>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</si>
  <si>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</si>
  <si>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</si>
  <si>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</si>
  <si>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</si>
  <si>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</si>
  <si>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</si>
  <si>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</si>
  <si>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</si>
  <si>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</si>
  <si>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</si>
  <si>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</si>
  <si>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</si>
  <si>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</si>
  <si>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</si>
  <si>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</si>
  <si>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</si>
  <si>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</si>
  <si>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</si>
  <si>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</si>
  <si>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</si>
  <si>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</si>
  <si>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</si>
  <si>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</si>
  <si>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</si>
  <si>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</si>
  <si>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</si>
  <si>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</si>
  <si>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</si>
  <si>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</si>
  <si>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</si>
  <si>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</si>
  <si>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</si>
  <si>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</si>
  <si>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</si>
  <si>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</si>
  <si>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</si>
  <si>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</si>
  <si>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</si>
  <si>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</si>
  <si>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</si>
  <si>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</si>
  <si>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</si>
  <si>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</si>
  <si>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</si>
  <si>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</si>
  <si>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</si>
  <si>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</si>
  <si>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</si>
  <si>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</si>
  <si>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</si>
  <si>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</si>
  <si>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</si>
  <si>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</si>
  <si>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</si>
  <si>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</si>
  <si>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</si>
  <si>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</si>
  <si>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</si>
  <si>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</si>
  <si>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</si>
  <si>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</si>
  <si>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</si>
  <si>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</si>
  <si>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</si>
  <si>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</si>
  <si>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</si>
  <si>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</si>
  <si>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</si>
  <si>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</si>
  <si>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</si>
  <si>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</si>
  <si>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</si>
  <si>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</si>
  <si>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</si>
  <si>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</si>
  <si>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</si>
  <si>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</si>
  <si>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</si>
  <si>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</si>
  <si>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</si>
  <si>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</si>
  <si>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</si>
  <si>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</si>
  <si>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</si>
  <si>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</si>
  <si>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</si>
  <si>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</si>
  <si>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</si>
  <si>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</si>
  <si>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</si>
  <si>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</si>
  <si>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</si>
  <si>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</si>
  <si>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</si>
  <si>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</si>
  <si>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</si>
  <si>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</si>
  <si>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</si>
  <si>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</si>
  <si>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</si>
  <si>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</si>
  <si>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</si>
  <si>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</si>
  <si>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</si>
  <si>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</si>
  <si>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</si>
  <si>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</si>
  <si>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</si>
  <si>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</si>
  <si>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</si>
  <si>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</si>
  <si>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</si>
  <si>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</si>
  <si>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</si>
  <si>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</si>
  <si>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</si>
  <si>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</si>
  <si>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</si>
  <si>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</si>
  <si>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</si>
  <si>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</si>
  <si>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</si>
  <si>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</si>
  <si>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</si>
  <si>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</si>
  <si>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</si>
  <si>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</si>
  <si>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</si>
  <si>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</si>
  <si>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</si>
  <si>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</si>
  <si>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</si>
  <si>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</si>
  <si>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</si>
  <si>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</si>
  <si>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</si>
  <si>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</si>
  <si>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</si>
  <si>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</si>
  <si>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</si>
  <si>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</si>
  <si>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</si>
  <si>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</si>
  <si>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</si>
  <si>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</si>
  <si>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</si>
  <si>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</si>
  <si>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</si>
  <si>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</si>
  <si>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</si>
  <si>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</si>
  <si>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</si>
  <si>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</si>
  <si>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</si>
  <si>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</si>
  <si>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</si>
  <si>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</si>
  <si>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</si>
  <si>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</si>
  <si>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</si>
  <si>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</si>
  <si>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</si>
  <si>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</si>
  <si>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</si>
  <si>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</si>
  <si>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</si>
  <si>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</si>
  <si>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</si>
  <si>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</si>
  <si>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</si>
  <si>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</si>
  <si>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</si>
  <si>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</si>
  <si>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</si>
  <si>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</si>
  <si>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</si>
  <si>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</si>
  <si>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</si>
  <si>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</si>
  <si>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</si>
  <si>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</si>
  <si>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</si>
  <si>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</si>
  <si>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</si>
  <si>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</si>
  <si>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</si>
  <si>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</si>
  <si>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</si>
  <si>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</si>
  <si>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</si>
  <si>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</si>
  <si>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</si>
  <si>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</si>
  <si>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</si>
  <si>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</si>
  <si>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</si>
  <si>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</si>
  <si>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</si>
  <si>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</si>
  <si>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</si>
  <si>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</si>
  <si>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</si>
  <si>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</si>
  <si>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</si>
  <si>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</si>
  <si>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</si>
  <si>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</si>
  <si>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</si>
  <si>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</si>
  <si>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</si>
  <si>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</si>
  <si>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</si>
  <si>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</si>
  <si>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</si>
  <si>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</si>
  <si>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</si>
  <si>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</si>
  <si>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</si>
  <si>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</si>
  <si>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</si>
  <si>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</si>
  <si>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</si>
  <si>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</si>
  <si>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</si>
  <si>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</si>
  <si>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</si>
  <si>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</si>
  <si>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</si>
  <si>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</si>
  <si>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</si>
  <si>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</si>
  <si>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</si>
  <si>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</si>
  <si>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</si>
  <si>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</si>
  <si>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</si>
  <si>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</si>
  <si>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</si>
  <si>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</si>
  <si>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</si>
  <si>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</si>
  <si>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</si>
  <si>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</si>
  <si>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</si>
  <si>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</si>
  <si>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</si>
  <si>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</si>
  <si>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</si>
  <si>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</si>
  <si>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</si>
  <si>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</si>
  <si>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</si>
  <si>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</si>
  <si>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</si>
  <si>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</si>
  <si>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</si>
  <si>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</si>
  <si>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</si>
  <si>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</si>
  <si>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</si>
  <si>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</si>
  <si>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</si>
  <si>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</si>
  <si>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</si>
  <si>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</si>
  <si>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</si>
  <si>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</si>
  <si>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</si>
  <si>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</si>
  <si>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</si>
  <si>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</si>
  <si>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</si>
  <si>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</si>
  <si>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</si>
  <si>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</si>
  <si>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</si>
  <si>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</si>
  <si>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</si>
  <si>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</si>
  <si>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</si>
  <si>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</si>
  <si>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</si>
  <si>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</si>
  <si>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</si>
  <si>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</si>
  <si>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</si>
  <si>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</si>
  <si>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</si>
  <si>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</si>
  <si>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</si>
  <si>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</si>
  <si>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</si>
  <si>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</si>
  <si>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</si>
  <si>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</si>
  <si>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</si>
  <si>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</si>
  <si>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</si>
  <si>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</si>
  <si>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</si>
  <si>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</si>
  <si>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</si>
  <si>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</si>
  <si>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</si>
  <si>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</si>
  <si>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</si>
  <si>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</si>
  <si>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</si>
  <si>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</si>
  <si>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</si>
  <si>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</si>
  <si>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</si>
  <si>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</si>
  <si>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</si>
  <si>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</si>
  <si>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</si>
  <si>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</si>
  <si>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</si>
  <si>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</si>
  <si>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</si>
  <si>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</si>
  <si>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</si>
  <si>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</si>
  <si>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</si>
  <si>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</si>
  <si>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</si>
  <si>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</si>
  <si>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</si>
  <si>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</si>
  <si>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</si>
  <si>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</si>
  <si>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</si>
  <si>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</si>
  <si>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</si>
  <si>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</si>
  <si>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</si>
  <si>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</si>
  <si>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</si>
  <si>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</si>
  <si>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</si>
  <si>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</si>
  <si>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</si>
  <si>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</si>
  <si>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</si>
  <si>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</si>
  <si>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</si>
  <si>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</si>
  <si>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</si>
  <si>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</si>
  <si>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</si>
  <si>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</si>
  <si>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</si>
  <si>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</si>
  <si>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</si>
  <si>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</si>
  <si>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</si>
  <si>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</si>
  <si>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</si>
  <si>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</si>
  <si>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</si>
  <si>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</si>
  <si>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</si>
  <si>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</si>
  <si>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</si>
  <si>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</si>
  <si>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</si>
  <si>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</si>
  <si>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</si>
  <si>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</si>
  <si>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</si>
  <si>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</si>
  <si>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</si>
  <si>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</si>
  <si>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</si>
  <si>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</si>
  <si>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</si>
  <si>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</si>
  <si>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</si>
  <si>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</si>
  <si>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</si>
  <si>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</si>
  <si>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</si>
  <si>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</si>
  <si>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</si>
  <si>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</si>
  <si>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</si>
  <si>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</si>
  <si>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</si>
  <si>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</si>
  <si>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</si>
  <si>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</si>
  <si>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</si>
  <si>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</si>
  <si>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</si>
  <si>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</si>
  <si>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</si>
  <si>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</si>
  <si>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</si>
  <si>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</si>
  <si>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</si>
  <si>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</si>
  <si>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</si>
  <si>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</si>
  <si>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</si>
  <si>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</si>
  <si>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</si>
  <si>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</si>
  <si>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</si>
  <si>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</si>
  <si>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</si>
  <si>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</si>
  <si>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</si>
  <si>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</si>
  <si>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</si>
  <si>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</si>
  <si>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</si>
  <si>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</si>
  <si>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</si>
  <si>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</si>
  <si>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</si>
  <si>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</si>
  <si>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</si>
  <si>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</si>
  <si>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</si>
  <si>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</si>
  <si>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</si>
  <si>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</si>
  <si>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</si>
  <si>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</si>
  <si>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</si>
  <si>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</si>
  <si>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</si>
  <si>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</si>
  <si>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</si>
  <si>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</si>
  <si>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</si>
  <si>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</si>
  <si>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</si>
  <si>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</si>
  <si>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</si>
  <si>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</si>
  <si>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</si>
  <si>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</si>
  <si>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</si>
  <si>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</si>
  <si>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</si>
  <si>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</si>
  <si>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</si>
  <si>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</si>
  <si>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</si>
  <si>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</si>
  <si>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</si>
  <si>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</si>
  <si>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</si>
  <si>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</si>
  <si>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</si>
  <si>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</si>
  <si>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</si>
  <si>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</si>
  <si>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</si>
  <si>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</si>
  <si>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</si>
  <si>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</si>
  <si>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</si>
  <si>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</si>
  <si>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</si>
  <si>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</si>
  <si>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</si>
  <si>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</si>
  <si>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</si>
  <si>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</si>
  <si>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</si>
  <si>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</si>
  <si>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</si>
  <si>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</si>
  <si>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</si>
  <si>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</si>
  <si>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</si>
  <si>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</si>
  <si>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</si>
  <si>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</si>
  <si>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</si>
  <si>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</si>
  <si>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</si>
  <si>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</si>
  <si>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</si>
  <si>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</si>
  <si>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</si>
  <si>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</si>
  <si>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</si>
  <si>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</si>
  <si>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</si>
  <si>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</si>
  <si>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</si>
  <si>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</si>
  <si>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</si>
  <si>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</si>
  <si>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</si>
  <si>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</si>
  <si>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</si>
  <si>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</si>
  <si>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</si>
  <si>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</si>
  <si>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</si>
  <si>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</si>
  <si>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</si>
  <si>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</si>
  <si>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</si>
  <si>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</si>
  <si>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</si>
  <si>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</si>
  <si>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</si>
  <si>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</si>
  <si>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</si>
  <si>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</si>
  <si>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</si>
  <si>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</si>
  <si>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</si>
  <si>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</si>
  <si>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</si>
  <si>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</si>
  <si>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</si>
  <si>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</si>
  <si>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</si>
  <si>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</si>
  <si>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</si>
  <si>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</si>
  <si>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</si>
  <si>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</si>
  <si>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</si>
  <si>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</si>
  <si>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</si>
  <si>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</si>
  <si>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</si>
  <si>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</si>
  <si>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</si>
  <si>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</si>
  <si>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</si>
  <si>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</si>
  <si>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</si>
  <si>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</si>
  <si>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</si>
  <si>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</si>
  <si>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</si>
  <si>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</si>
  <si>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</si>
  <si>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</si>
  <si>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</si>
  <si>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</si>
  <si>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</si>
  <si>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</si>
  <si>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</si>
  <si>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</si>
  <si>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</si>
  <si>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</si>
  <si>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</si>
  <si>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</si>
  <si>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</si>
  <si>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</si>
  <si>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</si>
  <si>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</si>
  <si>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</si>
  <si>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</si>
  <si>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</si>
  <si>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</si>
  <si>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</si>
  <si>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</si>
  <si>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</si>
  <si>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</si>
  <si>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</si>
  <si>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</si>
  <si>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</si>
  <si>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</si>
  <si>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</si>
  <si>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</si>
  <si>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</si>
  <si>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</si>
  <si>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</si>
  <si>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</si>
  <si>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</si>
  <si>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</si>
  <si>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</si>
  <si>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</si>
  <si>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</si>
  <si>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</si>
  <si>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</si>
  <si>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</si>
  <si>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</si>
  <si>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</si>
  <si>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</si>
  <si>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</si>
  <si>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</si>
  <si>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</si>
  <si>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</si>
  <si>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</si>
  <si>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</si>
  <si>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</si>
  <si>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</si>
  <si>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</si>
  <si>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</si>
  <si>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</si>
  <si>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</si>
  <si>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</si>
  <si>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</si>
  <si>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</si>
  <si>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</si>
  <si>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</si>
  <si>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</si>
  <si>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</si>
  <si>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</si>
  <si>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</si>
  <si>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</si>
  <si>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</si>
  <si>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</si>
  <si>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</si>
  <si>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</si>
  <si>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</si>
  <si>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</si>
  <si>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</si>
  <si>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</si>
  <si>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</si>
  <si>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</si>
  <si>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</si>
  <si>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</si>
  <si>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</si>
  <si>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</si>
  <si>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</si>
  <si>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</si>
  <si>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</si>
  <si>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</si>
  <si>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</si>
  <si>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</si>
  <si>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</si>
  <si>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</si>
  <si>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</si>
  <si>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</si>
  <si>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</si>
  <si>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</si>
  <si>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</si>
  <si>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</si>
  <si>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</si>
  <si>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</si>
  <si>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</si>
  <si>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</si>
  <si>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</si>
  <si>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</si>
  <si>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</si>
  <si>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</si>
  <si>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</si>
  <si>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</si>
  <si>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</si>
  <si>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</si>
  <si>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</si>
  <si>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</si>
  <si>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</si>
  <si>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</si>
  <si>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</si>
  <si>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</si>
  <si>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</si>
  <si>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</si>
  <si>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</si>
  <si>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</si>
  <si>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</si>
  <si>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</si>
  <si>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</si>
  <si>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</si>
  <si>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</si>
  <si>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</si>
  <si>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</si>
  <si>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</si>
  <si>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</si>
  <si>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</si>
  <si>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</si>
  <si>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</si>
  <si>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</si>
  <si>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</si>
  <si>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</si>
  <si>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</si>
  <si>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</si>
  <si>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</si>
  <si>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</si>
  <si>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</si>
  <si>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</si>
  <si>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</si>
  <si>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</si>
  <si>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</si>
  <si>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</si>
  <si>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</si>
  <si>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</si>
  <si>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</si>
  <si>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</si>
  <si>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</si>
  <si>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</si>
  <si>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</si>
  <si>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</si>
  <si>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</si>
  <si>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</si>
  <si>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</si>
  <si>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</si>
  <si>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</si>
  <si>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</si>
  <si>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</si>
  <si>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</si>
  <si>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</si>
  <si>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</si>
  <si>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</si>
  <si>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</si>
  <si>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</si>
  <si>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</si>
  <si>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</si>
  <si>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</si>
  <si>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</si>
  <si>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</si>
  <si>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</si>
  <si>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</si>
  <si>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</si>
  <si>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</si>
  <si>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</si>
  <si>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</si>
  <si>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</si>
  <si>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</si>
  <si>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</si>
  <si>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</si>
  <si>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</si>
  <si>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</si>
  <si>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</si>
  <si>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</si>
  <si>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</si>
  <si>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</si>
  <si>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</si>
  <si>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</si>
  <si>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</si>
  <si>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</si>
  <si>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</si>
  <si>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</si>
  <si>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</si>
  <si>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</si>
  <si>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</si>
  <si>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</si>
  <si>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</si>
  <si>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</si>
  <si>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</si>
  <si>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</si>
  <si>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</si>
  <si>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</si>
  <si>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</si>
  <si>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</si>
  <si>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</si>
  <si>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</si>
  <si>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</si>
  <si>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</si>
  <si>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</si>
  <si>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</si>
  <si>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</si>
  <si>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</si>
  <si>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</si>
  <si>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</si>
  <si>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</si>
  <si>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</si>
  <si>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</si>
  <si>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</si>
  <si>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</si>
  <si>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</si>
  <si>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</si>
  <si>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</si>
  <si>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</si>
  <si>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</si>
  <si>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</si>
  <si>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</si>
  <si>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</si>
  <si>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</si>
  <si>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</si>
  <si>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</si>
  <si>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</si>
  <si>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</si>
  <si>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</si>
  <si>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</si>
  <si>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</si>
  <si>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</si>
  <si>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</si>
  <si>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</si>
  <si>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</si>
  <si>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</si>
  <si>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</si>
  <si>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</si>
  <si>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</si>
  <si>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</si>
  <si>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</si>
  <si>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</si>
  <si>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</si>
  <si>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</si>
  <si>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</si>
  <si>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</si>
  <si>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</si>
  <si>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</si>
  <si>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</si>
  <si>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</si>
  <si>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</si>
  <si>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</si>
  <si>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</si>
  <si>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</si>
  <si>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</si>
  <si>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</si>
  <si>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</si>
  <si>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</si>
  <si>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</si>
  <si>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</si>
  <si>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</si>
  <si>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</si>
  <si>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</si>
  <si>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</si>
  <si>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</si>
  <si>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</si>
  <si>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</si>
  <si>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</si>
  <si>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</si>
  <si>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</si>
  <si>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</si>
  <si>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</si>
  <si>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</si>
  <si>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</si>
  <si>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</si>
  <si>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</si>
  <si>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</si>
  <si>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</si>
  <si>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</si>
  <si>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</si>
  <si>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</si>
  <si>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</si>
  <si>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</si>
  <si>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</si>
  <si>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</si>
  <si>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</si>
  <si>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</si>
  <si>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</si>
  <si>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</si>
  <si>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</si>
  <si>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</si>
  <si>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</si>
  <si>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</si>
  <si>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</si>
  <si>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</si>
  <si>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</si>
  <si>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</si>
  <si>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</si>
  <si>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</si>
  <si>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</si>
  <si>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</si>
  <si>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</si>
  <si>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</si>
  <si>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</si>
  <si>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</si>
  <si>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</si>
  <si>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</si>
  <si>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</si>
  <si>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</si>
  <si>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</si>
  <si>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</si>
  <si>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</si>
  <si>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</si>
  <si>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</si>
  <si>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</si>
  <si>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</si>
  <si>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</si>
  <si>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</si>
  <si>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</si>
  <si>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</si>
  <si>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</si>
  <si>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</si>
  <si>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</si>
  <si>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</si>
  <si>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</si>
  <si>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</si>
  <si>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</si>
  <si>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</si>
  <si>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</si>
  <si>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</si>
  <si>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</si>
  <si>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</si>
  <si>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</si>
  <si>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</si>
  <si>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</si>
  <si>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</si>
  <si>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</si>
  <si>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</si>
  <si>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</si>
  <si>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</si>
  <si>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</si>
  <si>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</si>
  <si>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</si>
  <si>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</si>
  <si>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</si>
  <si>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</si>
  <si>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</si>
  <si>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</si>
  <si>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</si>
  <si>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</si>
  <si>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</si>
  <si>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</si>
  <si>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</si>
  <si>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</si>
  <si>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</si>
  <si>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</si>
  <si>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</si>
  <si>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</si>
  <si>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</si>
  <si>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</si>
  <si>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</si>
  <si>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</si>
  <si>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</si>
  <si>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</si>
  <si>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</si>
  <si>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</si>
  <si>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</si>
  <si>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</si>
  <si>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</si>
  <si>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</si>
  <si>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</si>
  <si>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</si>
  <si>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</si>
  <si>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</si>
  <si>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</si>
  <si>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</si>
  <si>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</si>
  <si>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</si>
  <si>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</si>
  <si>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</si>
  <si>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</si>
  <si>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</si>
  <si>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</si>
  <si>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</si>
  <si>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</si>
  <si>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</si>
  <si>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</si>
  <si>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</si>
  <si>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</si>
  <si>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</si>
  <si>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</si>
  <si>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</si>
  <si>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</si>
  <si>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</si>
  <si>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</si>
  <si>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</si>
  <si>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</si>
  <si>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</si>
  <si>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</si>
  <si>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</si>
  <si>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</si>
  <si>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</si>
  <si>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</si>
  <si>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</si>
  <si>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</si>
  <si>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</si>
  <si>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</si>
  <si>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</si>
  <si>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</si>
  <si>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</si>
  <si>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</si>
  <si>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</si>
  <si>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</si>
  <si>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</si>
  <si>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</si>
  <si>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</si>
  <si>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</si>
  <si>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</si>
  <si>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</si>
  <si>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</si>
  <si>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</si>
  <si>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</si>
  <si>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</si>
  <si>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</si>
  <si>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</si>
  <si>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</si>
  <si>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</si>
  <si>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</si>
  <si>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</si>
  <si>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</si>
  <si>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</si>
  <si>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</si>
  <si>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</si>
  <si>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</si>
  <si>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</si>
  <si>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</si>
  <si>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</si>
  <si>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</si>
  <si>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</si>
  <si>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</si>
  <si>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</si>
  <si>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</si>
  <si>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</si>
  <si>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</si>
  <si>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</si>
  <si>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</si>
  <si>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</si>
  <si>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</si>
  <si>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</si>
  <si>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</si>
  <si>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</si>
  <si>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</si>
  <si>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</si>
  <si>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</si>
  <si>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</si>
  <si>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</si>
  <si>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</si>
  <si>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</si>
  <si>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</si>
  <si>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</si>
  <si>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</si>
  <si>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</si>
  <si>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</si>
  <si>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</si>
  <si>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</si>
  <si>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</si>
  <si>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</si>
  <si>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</si>
  <si>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</si>
  <si>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</si>
  <si>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</si>
  <si>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</si>
  <si>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</si>
  <si>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</si>
  <si>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</si>
  <si>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</si>
  <si>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</si>
  <si>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</si>
  <si>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</si>
  <si>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</si>
  <si>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</si>
  <si>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</si>
  <si>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</si>
  <si>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</si>
  <si>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</si>
  <si>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</si>
  <si>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</si>
  <si>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</si>
  <si>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</si>
  <si>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</si>
  <si>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</si>
  <si>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</si>
  <si>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</si>
  <si>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</si>
  <si>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</si>
  <si>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</si>
  <si>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</si>
  <si>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</si>
  <si>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</si>
  <si>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</si>
  <si>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</si>
  <si>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</si>
  <si>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</si>
  <si>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</si>
  <si>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</si>
  <si>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</si>
  <si>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</si>
  <si>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</si>
  <si>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</si>
  <si>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</si>
  <si>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</si>
  <si>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</si>
  <si>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</si>
  <si>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</si>
  <si>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</si>
  <si>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</si>
  <si>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</si>
  <si>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</si>
  <si>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</si>
  <si>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</si>
  <si>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</si>
  <si>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</si>
  <si>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</si>
  <si>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</si>
  <si>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</si>
  <si>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</si>
  <si>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</si>
  <si>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</si>
  <si>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</si>
  <si>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</si>
  <si>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</si>
  <si>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</si>
  <si>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</si>
  <si>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</si>
  <si>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</si>
  <si>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</si>
  <si>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</si>
  <si>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</si>
  <si>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</si>
  <si>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</si>
  <si>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</si>
  <si>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</si>
  <si>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</si>
  <si>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</si>
  <si>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</si>
  <si>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</si>
  <si>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</si>
  <si>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</si>
  <si>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</si>
  <si>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</si>
  <si>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</si>
  <si>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</si>
  <si>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</si>
  <si>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</si>
  <si>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</si>
  <si>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</si>
  <si>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</si>
  <si>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</si>
  <si>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</si>
  <si>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</si>
  <si>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</si>
  <si>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</si>
  <si>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</si>
  <si>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</si>
  <si>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</si>
  <si>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</si>
  <si>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</si>
  <si>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</si>
  <si>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</si>
  <si>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</si>
  <si>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</si>
  <si>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</si>
  <si>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</si>
  <si>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</si>
  <si>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</si>
  <si>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</si>
  <si>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</si>
  <si>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</si>
  <si>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</si>
  <si>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</si>
  <si>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</si>
  <si>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</si>
  <si>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</si>
  <si>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</si>
  <si>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</si>
  <si>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</si>
  <si>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</si>
  <si>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</si>
  <si>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</si>
  <si>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</si>
  <si>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</si>
  <si>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</si>
  <si>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</si>
  <si>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</si>
  <si>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</si>
  <si>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</si>
  <si>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</si>
  <si>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</si>
  <si>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</si>
  <si>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</si>
  <si>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</si>
  <si>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</si>
  <si>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</si>
  <si>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</si>
  <si>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</si>
  <si>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</si>
  <si>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</si>
  <si>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</si>
  <si>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</si>
  <si>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</si>
  <si>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</si>
  <si>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</si>
  <si>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</si>
  <si>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</si>
  <si>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</si>
  <si>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</si>
  <si>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</si>
  <si>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</si>
  <si>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</si>
  <si>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</si>
  <si>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</si>
  <si>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</si>
  <si>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</si>
  <si>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</si>
  <si>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</si>
  <si>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</si>
  <si>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</si>
  <si>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</si>
  <si>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</si>
  <si>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</si>
  <si>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</si>
  <si>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</si>
  <si>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</si>
  <si>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</si>
  <si>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</si>
  <si>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</si>
  <si>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</si>
  <si>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</si>
  <si>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</si>
  <si>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</si>
  <si>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</si>
  <si>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</si>
  <si>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</si>
  <si>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</si>
  <si>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</si>
  <si>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</si>
  <si>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</si>
  <si>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</si>
  <si>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</si>
  <si>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</si>
  <si>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</si>
  <si>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</si>
  <si>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</si>
  <si>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</si>
  <si>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</si>
  <si>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</si>
  <si>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</si>
  <si>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</si>
  <si>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</si>
  <si>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</si>
  <si>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</si>
  <si>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</si>
  <si>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</si>
  <si>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</si>
  <si>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</si>
  <si>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</si>
  <si>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</si>
  <si>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</si>
  <si>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</si>
  <si>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</si>
  <si>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</si>
  <si>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</si>
  <si>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</si>
  <si>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</si>
  <si>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</si>
  <si>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</si>
  <si>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</si>
  <si>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</si>
  <si>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</si>
  <si>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</si>
  <si>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</si>
  <si>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</si>
  <si>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</si>
  <si>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</si>
  <si>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</si>
  <si>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</si>
  <si>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</si>
  <si>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</si>
  <si>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</si>
  <si>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</si>
  <si>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</si>
  <si>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</si>
  <si>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</si>
  <si>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</si>
  <si>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</si>
  <si>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</si>
  <si>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</si>
  <si>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</si>
  <si>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</si>
  <si>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</si>
  <si>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</si>
  <si>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</si>
  <si>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</si>
  <si>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</si>
  <si>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</si>
  <si>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</si>
  <si>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</si>
  <si>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</si>
  <si>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</si>
  <si>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</si>
  <si>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</si>
  <si>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</si>
  <si>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</si>
  <si>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</si>
  <si>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</si>
  <si>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</si>
  <si>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</si>
  <si>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</si>
  <si>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</si>
  <si>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</si>
  <si>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</si>
  <si>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</si>
  <si>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</si>
  <si>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</si>
  <si>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</si>
  <si>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</si>
  <si>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</si>
  <si>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</si>
  <si>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</si>
  <si>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</si>
  <si>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</si>
  <si>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</si>
  <si>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</si>
  <si>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</si>
  <si>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</si>
  <si>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</si>
  <si>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</si>
  <si>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</si>
  <si>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</si>
  <si>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</si>
  <si>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</si>
  <si>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</si>
  <si>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</si>
  <si>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</si>
  <si>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</si>
  <si>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</si>
  <si>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</si>
  <si>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</si>
  <si>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</si>
  <si>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</si>
  <si>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</si>
  <si>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</si>
  <si>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</si>
  <si>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</si>
  <si>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</si>
  <si>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</si>
  <si>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</si>
  <si>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</si>
  <si>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</si>
  <si>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</si>
  <si>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</si>
  <si>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</si>
  <si>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</si>
  <si>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</si>
  <si>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</si>
  <si>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</si>
  <si>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</si>
  <si>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</si>
  <si>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</si>
  <si>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</si>
  <si>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</si>
  <si>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</si>
  <si>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</si>
  <si>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</si>
  <si>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</si>
  <si>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</si>
  <si>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</si>
  <si>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</si>
  <si>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</si>
  <si>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</si>
  <si>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</si>
  <si>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</si>
  <si>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</si>
  <si>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</si>
  <si>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</si>
  <si>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</si>
  <si>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</si>
  <si>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</si>
  <si>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</si>
  <si>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</si>
  <si>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</si>
  <si>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</si>
  <si>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</si>
  <si>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</si>
  <si>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</si>
  <si>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</si>
  <si>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</si>
  <si>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</si>
  <si>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</si>
  <si>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</si>
  <si>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</si>
  <si>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</si>
  <si>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</si>
  <si>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</si>
  <si>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</si>
  <si>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</si>
  <si>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</si>
  <si>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</si>
  <si>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</si>
  <si>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</si>
  <si>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</si>
  <si>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</si>
  <si>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</si>
  <si>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</si>
  <si>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</si>
  <si>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</si>
  <si>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</si>
  <si>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</si>
  <si>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</si>
  <si>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</si>
  <si>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</si>
  <si>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</si>
  <si>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</si>
  <si>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</si>
  <si>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</si>
  <si>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</si>
  <si>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</si>
  <si>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</si>
  <si>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</si>
  <si>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</si>
  <si>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</si>
  <si>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</si>
  <si>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</si>
  <si>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</si>
  <si>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</si>
  <si>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</si>
  <si>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</si>
  <si>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</si>
  <si>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</si>
  <si>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</si>
  <si>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</si>
  <si>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</si>
  <si>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</si>
  <si>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</si>
  <si>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</si>
  <si>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</si>
  <si>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</si>
  <si>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</si>
  <si>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</si>
  <si>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</si>
  <si>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</si>
  <si>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</si>
  <si>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</si>
  <si>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</si>
  <si>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</si>
  <si>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</si>
  <si>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</si>
  <si>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</si>
  <si>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</si>
  <si>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</si>
  <si>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</si>
  <si>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</si>
  <si>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</si>
  <si>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</si>
  <si>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</si>
  <si>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</si>
  <si>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</si>
  <si>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</si>
  <si>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</si>
  <si>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</si>
  <si>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</si>
  <si>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</si>
  <si>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</si>
  <si>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</si>
  <si>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</si>
  <si>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</si>
  <si>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</si>
  <si>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</si>
  <si>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</si>
  <si>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</si>
  <si>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</si>
  <si>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</si>
  <si>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</si>
  <si>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</si>
  <si>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</si>
  <si>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</si>
  <si>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</si>
  <si>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</si>
  <si>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</si>
  <si>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</si>
  <si>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</si>
  <si>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</si>
  <si>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</si>
  <si>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</si>
  <si>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</si>
  <si>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</si>
  <si>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</si>
  <si>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</si>
  <si>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</si>
  <si>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</si>
  <si>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</si>
  <si>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</si>
  <si>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</si>
  <si>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</si>
  <si>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</si>
  <si>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</si>
  <si>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</si>
  <si>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</si>
  <si>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</si>
  <si>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</si>
  <si>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</si>
  <si>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</si>
  <si>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</si>
  <si>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</si>
  <si>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</si>
  <si>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</si>
  <si>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</si>
  <si>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</si>
  <si>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</si>
  <si>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</si>
  <si>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</si>
  <si>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</si>
  <si>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</si>
  <si>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</si>
  <si>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</si>
  <si>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</si>
  <si>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</si>
  <si>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</si>
  <si>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</si>
  <si>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</si>
  <si>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</si>
  <si>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</si>
  <si>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</si>
  <si>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</si>
  <si>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</si>
  <si>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</si>
  <si>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</si>
  <si>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</si>
  <si>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</si>
  <si>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</si>
  <si>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</si>
  <si>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</si>
  <si>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</si>
  <si>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</si>
  <si>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</si>
  <si>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</si>
  <si>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</si>
  <si>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</si>
  <si>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</si>
  <si>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</si>
  <si>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</si>
  <si>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</si>
  <si>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</si>
  <si>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</si>
  <si>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</si>
  <si>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</si>
  <si>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</si>
  <si>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</si>
  <si>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</si>
  <si>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</si>
  <si>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</si>
  <si>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</si>
  <si>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</si>
  <si>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</si>
  <si>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</si>
  <si>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</si>
  <si>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</si>
  <si>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</si>
  <si>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</si>
  <si>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</si>
  <si>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</si>
  <si>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</si>
  <si>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</si>
  <si>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</si>
  <si>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</si>
  <si>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</si>
  <si>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</si>
  <si>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</si>
  <si>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</si>
  <si>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</si>
  <si>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</si>
  <si>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</si>
  <si>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</si>
  <si>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</si>
  <si>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</si>
  <si>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</si>
  <si>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</si>
  <si>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</si>
  <si>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</si>
  <si>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</si>
  <si>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</si>
  <si>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</si>
  <si>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</si>
  <si>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</si>
  <si>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</si>
  <si>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</si>
  <si>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</si>
  <si>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</si>
  <si>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</si>
  <si>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</si>
  <si>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</si>
  <si>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</si>
  <si>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</si>
  <si>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</si>
  <si>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</si>
  <si>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</si>
  <si>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</si>
  <si>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</si>
  <si>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</si>
  <si>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</si>
  <si>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</si>
  <si>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</si>
  <si>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</si>
  <si>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</si>
  <si>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</si>
  <si>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</si>
  <si>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</si>
  <si>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</si>
  <si>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</si>
  <si>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</si>
  <si>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</si>
  <si>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</si>
  <si>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</si>
  <si>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</si>
  <si>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</si>
  <si>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</si>
  <si>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</si>
  <si>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</si>
  <si>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</si>
  <si>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</si>
  <si>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</si>
  <si>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</si>
  <si>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</si>
  <si>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</si>
  <si>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</si>
  <si>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</si>
  <si>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</si>
  <si>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</si>
  <si>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</si>
  <si>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</si>
  <si>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</si>
  <si>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</si>
  <si>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</si>
  <si>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</si>
  <si>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</si>
  <si>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</si>
  <si>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</si>
  <si>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</si>
  <si>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</si>
  <si>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</si>
  <si>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</si>
  <si>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</si>
  <si>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</si>
  <si>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</si>
  <si>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</si>
  <si>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</si>
  <si>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</si>
  <si>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</si>
  <si>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</si>
  <si>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</si>
  <si>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</si>
  <si>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</si>
  <si>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</si>
  <si>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</si>
  <si>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</si>
  <si>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</si>
  <si>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</si>
  <si>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</si>
  <si>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</si>
  <si>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</si>
  <si>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</si>
  <si>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</si>
  <si>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</si>
  <si>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</si>
  <si>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</si>
  <si>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</si>
  <si>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</si>
  <si>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</si>
  <si>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</si>
  <si>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</si>
  <si>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</si>
  <si>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</si>
  <si>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</si>
  <si>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</si>
  <si>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</si>
  <si>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</si>
  <si>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</si>
  <si>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</si>
  <si>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</si>
  <si>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</si>
  <si>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</si>
  <si>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</si>
  <si>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</si>
  <si>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</si>
  <si>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</si>
  <si>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</si>
  <si>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</si>
  <si>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</si>
  <si>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</si>
  <si>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</si>
  <si>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</si>
  <si>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</si>
  <si>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</si>
  <si>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</si>
  <si>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</si>
  <si>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</si>
  <si>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</si>
  <si>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</si>
  <si>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</si>
  <si>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</si>
  <si>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</si>
  <si>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</si>
  <si>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</si>
  <si>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</si>
  <si>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</si>
  <si>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</si>
  <si>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</si>
  <si>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</si>
  <si>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</si>
  <si>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</si>
  <si>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</si>
  <si>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</si>
  <si>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</si>
  <si>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</si>
  <si>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</si>
  <si>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</si>
  <si>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</si>
  <si>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</si>
  <si>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</si>
  <si>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</si>
  <si>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</si>
  <si>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</si>
  <si>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</si>
  <si>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</si>
  <si>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</si>
  <si>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</si>
  <si>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</si>
  <si>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</si>
  <si>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</si>
  <si>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</si>
  <si>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</si>
  <si>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</si>
  <si>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</si>
  <si>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</si>
  <si>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</si>
  <si>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</si>
  <si>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</si>
  <si>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</si>
  <si>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</si>
  <si>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</si>
  <si>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</si>
  <si>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</si>
  <si>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</si>
  <si>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</si>
  <si>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</si>
  <si>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</si>
  <si>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</si>
  <si>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</si>
  <si>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</si>
  <si>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</si>
  <si>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</si>
  <si>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</si>
  <si>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</si>
  <si>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</si>
  <si>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</si>
  <si>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</si>
  <si>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</si>
  <si>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</si>
  <si>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</si>
  <si>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</si>
  <si>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</si>
  <si>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</si>
  <si>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</si>
  <si>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</si>
  <si>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</si>
  <si>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</si>
  <si>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</si>
  <si>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</si>
  <si>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</si>
  <si>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</si>
  <si>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</si>
  <si>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</si>
  <si>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</si>
  <si>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</si>
  <si>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</si>
  <si>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</si>
  <si>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</si>
  <si>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</si>
  <si>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</si>
  <si>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</si>
  <si>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</si>
  <si>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</si>
  <si>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</si>
  <si>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</si>
  <si>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</si>
  <si>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</si>
  <si>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</si>
  <si>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</si>
  <si>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</si>
  <si>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</si>
  <si>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</si>
  <si>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</si>
  <si>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</si>
  <si>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</si>
  <si>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</si>
  <si>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</si>
  <si>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</si>
  <si>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</si>
  <si>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</si>
  <si>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</si>
  <si>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</si>
  <si>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</si>
  <si>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</si>
  <si>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</si>
  <si>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</si>
  <si>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</si>
  <si>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</si>
  <si>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</si>
  <si>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</si>
  <si>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</si>
  <si>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</si>
  <si>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</si>
  <si>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</si>
  <si>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</si>
  <si>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</si>
  <si>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</si>
  <si>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</si>
  <si>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</si>
  <si>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</si>
  <si>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</si>
  <si>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</si>
  <si>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</si>
  <si>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</si>
  <si>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</si>
  <si>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</si>
  <si>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</si>
  <si>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</si>
  <si>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</si>
  <si>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</si>
  <si>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</si>
  <si>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</si>
  <si>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</si>
  <si>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</si>
  <si>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</si>
  <si>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</si>
  <si>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</si>
  <si>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</si>
  <si>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</si>
  <si>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</si>
  <si>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</si>
  <si>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</si>
  <si>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</si>
  <si>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</si>
  <si>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</si>
  <si>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</si>
  <si>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</si>
  <si>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</si>
  <si>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</si>
  <si>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</si>
  <si>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</si>
  <si>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</si>
  <si>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</si>
  <si>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</si>
  <si>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</si>
  <si>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</si>
  <si>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</si>
  <si>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</si>
  <si>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</si>
  <si>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</si>
  <si>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</si>
  <si>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</si>
  <si>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</si>
  <si>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</si>
  <si>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</si>
  <si>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</si>
  <si>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</si>
  <si>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</si>
  <si>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</si>
  <si>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</si>
  <si>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</si>
  <si>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</si>
  <si>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</si>
  <si>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</si>
  <si>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</si>
  <si>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</si>
  <si>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</si>
  <si>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</si>
  <si>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</si>
  <si>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</si>
  <si>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</si>
  <si>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</si>
  <si>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</si>
  <si>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</si>
  <si>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</si>
  <si>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</si>
  <si>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</si>
  <si>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</si>
  <si>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</si>
  <si>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</si>
  <si>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</si>
  <si>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</si>
  <si>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</si>
  <si>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</si>
  <si>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</si>
  <si>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</si>
  <si>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</si>
  <si>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</si>
  <si>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</si>
  <si>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</si>
  <si>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</si>
  <si>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</si>
  <si>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</si>
  <si>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</si>
  <si>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</si>
  <si>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</si>
  <si>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</si>
  <si>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</si>
  <si>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</si>
  <si>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</si>
  <si>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</si>
  <si>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</si>
  <si>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</si>
  <si>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</si>
  <si>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</si>
  <si>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</si>
  <si>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</si>
  <si>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</si>
  <si>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</si>
  <si>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</si>
  <si>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</si>
  <si>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</si>
  <si>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</si>
  <si>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</si>
  <si>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</si>
  <si>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</si>
  <si>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</si>
  <si>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</si>
  <si>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</si>
  <si>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</si>
  <si>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</si>
  <si>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</si>
  <si>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</si>
  <si>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</si>
  <si>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</si>
  <si>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</si>
  <si>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</si>
  <si>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</si>
  <si>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</si>
  <si>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</si>
  <si>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</si>
  <si>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</si>
  <si>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</si>
  <si>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</si>
  <si>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</si>
  <si>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</si>
  <si>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</si>
  <si>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</si>
  <si>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</si>
  <si>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</si>
  <si>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</si>
  <si>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</si>
  <si>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</si>
  <si>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</si>
  <si>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</si>
  <si>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</si>
  <si>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</si>
  <si>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</si>
  <si>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</si>
  <si>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</si>
  <si>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</si>
  <si>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</si>
  <si>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</si>
  <si>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</si>
  <si>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</si>
  <si>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</si>
  <si>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</si>
  <si>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</si>
  <si>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</si>
  <si>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</si>
  <si>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</si>
  <si>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</si>
  <si>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</si>
  <si>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</si>
  <si>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</si>
  <si>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</si>
  <si>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</si>
  <si>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</si>
  <si>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</si>
  <si>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</si>
  <si>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</si>
  <si>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</si>
  <si>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</si>
  <si>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</si>
  <si>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</si>
  <si>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</si>
  <si>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</si>
  <si>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</si>
  <si>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</si>
  <si>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</si>
  <si>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</si>
  <si>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</si>
  <si>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</si>
  <si>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</si>
  <si>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</si>
  <si>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</si>
  <si>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</si>
  <si>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</si>
  <si>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</si>
  <si>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</si>
  <si>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</si>
  <si>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</si>
  <si>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</si>
  <si>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</si>
  <si>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</si>
  <si>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</si>
  <si>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</si>
  <si>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</si>
  <si>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</si>
  <si>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</si>
  <si>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</si>
  <si>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</si>
  <si>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</si>
  <si>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</si>
  <si>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</si>
  <si>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</si>
  <si>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</si>
  <si>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</si>
  <si>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</si>
  <si>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</si>
  <si>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</si>
  <si>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</si>
  <si>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</si>
  <si>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</si>
  <si>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</si>
  <si>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</si>
  <si>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</si>
  <si>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</si>
  <si>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</si>
  <si>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</si>
  <si>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</si>
  <si>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</si>
  <si>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</si>
  <si>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</si>
  <si>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</si>
  <si>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</si>
  <si>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</si>
  <si>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</si>
  <si>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</si>
  <si>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</si>
  <si>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</si>
  <si>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</si>
  <si>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</si>
  <si>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</si>
  <si>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</si>
  <si>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</si>
  <si>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</si>
  <si>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</si>
  <si>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</si>
  <si>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</si>
  <si>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</si>
  <si>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</si>
  <si>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</si>
  <si>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</si>
  <si>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</si>
  <si>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</si>
  <si>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</si>
  <si>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</si>
  <si>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</si>
  <si>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</si>
  <si>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</si>
  <si>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</si>
  <si>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</si>
  <si>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</si>
  <si>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</si>
  <si>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</si>
  <si>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</si>
  <si>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</si>
  <si>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</si>
  <si>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</si>
  <si>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</si>
  <si>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</si>
  <si>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</si>
  <si>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</si>
  <si>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</si>
  <si>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</si>
  <si>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</si>
  <si>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</si>
  <si>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</si>
  <si>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</si>
  <si>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</si>
  <si>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</si>
  <si>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</si>
  <si>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</si>
  <si>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</si>
  <si>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</si>
  <si>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</si>
  <si>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</si>
  <si>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</si>
  <si>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</si>
  <si>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</si>
  <si>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</si>
  <si>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</si>
  <si>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</si>
  <si>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</si>
  <si>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</si>
  <si>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</si>
  <si>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</si>
  <si>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</si>
  <si>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</si>
  <si>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</si>
  <si>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</si>
  <si>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</si>
  <si>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</si>
  <si>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</si>
  <si>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</si>
  <si>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</si>
  <si>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</si>
  <si>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</si>
  <si>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</si>
  <si>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</si>
  <si>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</si>
  <si>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</si>
  <si>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</si>
  <si>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</si>
  <si>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</si>
  <si>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</si>
  <si>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</si>
  <si>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</si>
  <si>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</si>
  <si>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</si>
  <si>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</si>
  <si>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</si>
  <si>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</si>
  <si>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</si>
  <si>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</si>
  <si>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</si>
  <si>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</si>
  <si>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</si>
  <si>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</si>
  <si>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</si>
  <si>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</si>
  <si>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</si>
  <si>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</si>
  <si>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</si>
  <si>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</si>
  <si>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</si>
  <si>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</si>
  <si>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</si>
  <si>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</si>
  <si>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</si>
  <si>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</si>
  <si>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</si>
  <si>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</si>
  <si>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</si>
  <si>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</si>
  <si>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</si>
  <si>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</si>
  <si>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</si>
  <si>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</si>
  <si>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</si>
  <si>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</si>
  <si>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</si>
  <si>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</si>
  <si>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</si>
  <si>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</si>
  <si>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</si>
  <si>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</si>
  <si>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</si>
  <si>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</si>
  <si>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</si>
  <si>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</si>
  <si>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</si>
  <si>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</si>
  <si>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</si>
  <si>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</si>
  <si>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</si>
  <si>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</si>
  <si>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</si>
  <si>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</si>
  <si>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</si>
  <si>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</si>
  <si>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</si>
  <si>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</si>
  <si>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</si>
  <si>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</si>
  <si>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</si>
  <si>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</si>
  <si>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</si>
  <si>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</si>
  <si>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</si>
  <si>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</si>
  <si>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</si>
  <si>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</si>
  <si>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</si>
  <si>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</si>
  <si>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</si>
  <si>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</si>
  <si>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</si>
  <si>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</si>
  <si>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</si>
  <si>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</si>
  <si>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</si>
  <si>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</si>
  <si>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</si>
  <si>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</si>
  <si>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</si>
  <si>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</si>
  <si>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</si>
  <si>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</si>
  <si>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</si>
  <si>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</si>
  <si>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</si>
  <si>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</si>
  <si>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</si>
  <si>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</si>
  <si>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</si>
  <si>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</si>
  <si>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</si>
  <si>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</si>
  <si>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</si>
  <si>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</si>
  <si>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</si>
  <si>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</si>
  <si>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</si>
  <si>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</si>
  <si>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</si>
  <si>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</si>
  <si>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</si>
  <si>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</si>
  <si>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</si>
  <si>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</si>
  <si>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</si>
  <si>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</si>
  <si>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</si>
  <si>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</si>
  <si>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</si>
  <si>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</si>
  <si>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</si>
  <si>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</si>
  <si>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</si>
  <si>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</si>
  <si>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</si>
  <si>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</si>
  <si>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</si>
  <si>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</si>
  <si>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</si>
  <si>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</si>
  <si>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</si>
  <si>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</si>
  <si>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</si>
  <si>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</si>
  <si>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</si>
  <si>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</si>
  <si>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</si>
  <si>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</si>
  <si>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</si>
  <si>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</si>
  <si>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</si>
  <si>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</si>
  <si>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</si>
  <si>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</si>
  <si>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</si>
  <si>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</si>
  <si>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</si>
  <si>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</si>
  <si>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</si>
  <si>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</si>
  <si>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</si>
  <si>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</si>
  <si>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</si>
  <si>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</si>
  <si>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</si>
  <si>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</si>
  <si>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</si>
  <si>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</si>
  <si>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</si>
  <si>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</si>
  <si>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</si>
  <si>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</si>
  <si>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</si>
  <si>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</si>
  <si>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</si>
  <si>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</si>
  <si>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</si>
  <si>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</si>
  <si>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</si>
  <si>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</si>
  <si>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</si>
  <si>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</si>
  <si>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</si>
  <si>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</si>
  <si>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</si>
  <si>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</si>
  <si>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</si>
  <si>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</si>
  <si>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</si>
  <si>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</si>
  <si>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</si>
  <si>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</si>
  <si>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</si>
  <si>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</si>
  <si>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</si>
  <si>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</si>
  <si>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</si>
  <si>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</si>
  <si>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</si>
  <si>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</si>
  <si>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</si>
  <si>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</si>
  <si>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</si>
  <si>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</si>
  <si>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</si>
  <si>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</si>
  <si>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</si>
  <si>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</si>
  <si>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</si>
  <si>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</si>
  <si>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</si>
  <si>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</si>
  <si>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</si>
  <si>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</si>
  <si>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</si>
  <si>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</si>
  <si>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</si>
  <si>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</si>
  <si>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</si>
  <si>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</si>
  <si>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</si>
  <si>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</si>
  <si>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</si>
  <si>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</si>
  <si>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</si>
  <si>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</si>
  <si>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</si>
  <si>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</si>
  <si>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</si>
  <si>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</si>
  <si>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</si>
  <si>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</si>
  <si>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</si>
  <si>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</si>
  <si>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</si>
  <si>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</si>
  <si>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</si>
  <si>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</si>
  <si>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</si>
  <si>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</si>
  <si>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</si>
  <si>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</si>
  <si>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</si>
  <si>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</si>
  <si>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</si>
  <si>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</si>
  <si>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</si>
  <si>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</si>
  <si>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</si>
  <si>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</si>
  <si>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</si>
  <si>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</si>
  <si>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</si>
  <si>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</si>
  <si>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</si>
  <si>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</si>
  <si>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</si>
  <si>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</si>
  <si>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</si>
  <si>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</si>
  <si>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</si>
  <si>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</si>
  <si>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</si>
  <si>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</si>
  <si>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</si>
  <si>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</si>
  <si>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</si>
  <si>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</si>
  <si>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</si>
  <si>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</si>
  <si>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</si>
  <si>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</si>
  <si>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</si>
  <si>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</si>
  <si>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</si>
  <si>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</si>
  <si>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</si>
  <si>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</si>
  <si>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</si>
  <si>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</si>
  <si>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</si>
  <si>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</si>
  <si>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</si>
  <si>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</si>
  <si>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</si>
  <si>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</si>
  <si>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</si>
  <si>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</si>
  <si>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</si>
  <si>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</si>
  <si>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</si>
  <si>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</si>
  <si>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</si>
  <si>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</si>
  <si>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</si>
  <si>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</si>
  <si>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</si>
  <si>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</si>
  <si>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</si>
  <si>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</si>
  <si>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</si>
  <si>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</si>
  <si>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</si>
  <si>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</si>
  <si>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</si>
  <si>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</si>
  <si>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</si>
  <si>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</si>
  <si>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</si>
  <si>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</si>
  <si>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</si>
  <si>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</si>
  <si>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</si>
  <si>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</si>
  <si>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</si>
  <si>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</si>
  <si>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</si>
  <si>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</si>
  <si>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</si>
  <si>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</si>
  <si>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</si>
  <si>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</si>
  <si>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</si>
  <si>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</si>
  <si>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</si>
  <si>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</si>
  <si>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</si>
  <si>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</si>
  <si>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</si>
  <si>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</si>
  <si>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</si>
  <si>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</si>
  <si>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</si>
  <si>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</si>
  <si>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</si>
  <si>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</si>
  <si>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</si>
  <si>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</si>
  <si>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</si>
  <si>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</si>
  <si>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</si>
  <si>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</si>
  <si>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</si>
  <si>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</si>
  <si>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</si>
  <si>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</si>
  <si>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</si>
  <si>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</si>
  <si>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</si>
  <si>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</si>
  <si>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</si>
  <si>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</si>
  <si>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</si>
  <si>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</si>
  <si>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</si>
  <si>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</si>
  <si>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</si>
  <si>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</si>
  <si>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</si>
  <si>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</si>
  <si>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</si>
  <si>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</si>
  <si>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</si>
  <si>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</si>
  <si>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</si>
  <si>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</si>
  <si>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</si>
  <si>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</si>
  <si>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</si>
  <si>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</si>
  <si>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</si>
  <si>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</si>
  <si>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</si>
  <si>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</si>
  <si>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</si>
  <si>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</si>
  <si>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</si>
  <si>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</si>
  <si>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</si>
  <si>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</si>
  <si>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</si>
  <si>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</si>
  <si>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</si>
  <si>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</si>
  <si>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</si>
  <si>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</si>
  <si>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</si>
  <si>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</si>
  <si>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</si>
  <si>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</si>
  <si>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</si>
  <si>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</si>
  <si>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</si>
  <si>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</si>
  <si>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</si>
  <si>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</si>
  <si>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</si>
  <si>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</si>
  <si>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</si>
  <si>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</si>
  <si>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</si>
  <si>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</si>
  <si>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</si>
  <si>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</si>
  <si>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</si>
  <si>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</si>
  <si>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</si>
  <si>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</si>
  <si>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</si>
  <si>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</si>
  <si>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</si>
  <si>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</si>
  <si>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</si>
  <si>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</si>
  <si>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</si>
  <si>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</si>
  <si>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</si>
  <si>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</si>
  <si>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</si>
  <si>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</si>
  <si>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</si>
  <si>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</si>
  <si>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</si>
  <si>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</si>
  <si>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</si>
  <si>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</si>
  <si>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</si>
  <si>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</si>
  <si>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</si>
  <si>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</si>
  <si>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</si>
  <si>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</si>
  <si>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</si>
  <si>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</si>
  <si>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</si>
  <si>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</si>
  <si>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</si>
  <si>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</si>
  <si>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</si>
  <si>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</si>
  <si>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</si>
  <si>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</si>
  <si>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</si>
  <si>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</si>
  <si>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</si>
  <si>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</si>
  <si>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</si>
  <si>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</si>
  <si>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</si>
  <si>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</si>
  <si>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</si>
  <si>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</si>
  <si>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</si>
  <si>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</si>
  <si>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</si>
  <si>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</si>
  <si>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</si>
  <si>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</si>
  <si>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</si>
  <si>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</si>
  <si>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</si>
  <si>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</si>
  <si>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</si>
  <si>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</si>
  <si>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</si>
  <si>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</si>
  <si>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</si>
  <si>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</si>
  <si>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</si>
  <si>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</si>
  <si>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</si>
  <si>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</si>
  <si>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</si>
  <si>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</si>
  <si>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</si>
  <si>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</si>
  <si>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</si>
  <si>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</si>
  <si>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</si>
  <si>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</si>
  <si>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</si>
  <si>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</si>
  <si>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</si>
  <si>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</si>
  <si>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</si>
  <si>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</si>
  <si>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</si>
  <si>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</si>
  <si>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</si>
  <si>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</si>
  <si>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</si>
  <si>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</si>
  <si>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</si>
  <si>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</si>
  <si>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</si>
  <si>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</si>
  <si>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</si>
  <si>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</si>
  <si>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</si>
  <si>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</si>
  <si>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</si>
  <si>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</si>
  <si>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</si>
  <si>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</si>
  <si>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</si>
  <si>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</si>
  <si>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</si>
  <si>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</si>
  <si>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</si>
  <si>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</si>
  <si>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</si>
  <si>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</si>
  <si>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</si>
  <si>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</si>
  <si>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</si>
  <si>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</si>
  <si>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</si>
  <si>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</si>
  <si>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</si>
  <si>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</si>
  <si>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</si>
  <si>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</si>
  <si>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</si>
  <si>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</si>
  <si>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</si>
  <si>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</si>
  <si>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</si>
  <si>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</si>
  <si>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</si>
  <si>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</si>
  <si>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</si>
  <si>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</si>
  <si>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</si>
  <si>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</si>
  <si>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</si>
  <si>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</si>
  <si>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</si>
  <si>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</si>
  <si>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</si>
  <si>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</si>
  <si>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</si>
  <si>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</si>
  <si>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</si>
  <si>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</si>
  <si>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</si>
  <si>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</si>
  <si>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</si>
  <si>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</si>
  <si>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</si>
  <si>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</si>
  <si>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</si>
  <si>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</si>
  <si>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</si>
  <si>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</si>
  <si>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</si>
  <si>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</si>
  <si>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</si>
  <si>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</si>
  <si>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</si>
  <si>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</si>
  <si>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</si>
  <si>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</si>
  <si>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</si>
  <si>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</si>
  <si>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</si>
  <si>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</si>
  <si>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</si>
  <si>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</si>
  <si>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</si>
  <si>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</si>
  <si>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</si>
  <si>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</si>
  <si>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</si>
  <si>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</si>
  <si>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</si>
  <si>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</si>
  <si>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</si>
  <si>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</si>
  <si>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</si>
  <si>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</si>
  <si>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</si>
  <si>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</si>
  <si>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</si>
  <si>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</si>
  <si>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</si>
  <si>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</si>
  <si>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</si>
  <si>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</si>
  <si>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</si>
  <si>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</si>
  <si>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</si>
  <si>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</si>
  <si>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</si>
  <si>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</si>
  <si>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</si>
  <si>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</si>
  <si>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</si>
  <si>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</si>
  <si>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</si>
  <si>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</si>
  <si>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</si>
  <si>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</si>
  <si>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</si>
  <si>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</si>
  <si>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</si>
  <si>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</si>
  <si>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</si>
  <si>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</si>
  <si>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</si>
  <si>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</si>
  <si>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</si>
  <si>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</si>
  <si>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</si>
  <si>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</si>
  <si>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</si>
  <si>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</si>
  <si>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</si>
  <si>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</si>
  <si>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</si>
  <si>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</si>
  <si>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</si>
  <si>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</si>
  <si>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</si>
  <si>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</si>
  <si>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</si>
  <si>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</si>
  <si>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</si>
  <si>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</si>
  <si>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</si>
  <si>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</si>
  <si>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</si>
  <si>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</si>
  <si>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</si>
  <si>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</si>
  <si>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</si>
  <si>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</si>
  <si>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</si>
  <si>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</si>
  <si>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</si>
  <si>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</si>
  <si>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</si>
  <si>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</si>
  <si>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</si>
  <si>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</si>
  <si>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</si>
  <si>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</si>
  <si>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</si>
  <si>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</si>
  <si>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</si>
  <si>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</si>
  <si>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</si>
  <si>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</si>
  <si>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</si>
  <si>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</si>
  <si>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</si>
  <si>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</si>
  <si>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</si>
  <si>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</si>
  <si>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</si>
  <si>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</si>
  <si>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</si>
  <si>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</si>
  <si>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</si>
  <si>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</si>
  <si>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</si>
  <si>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</si>
  <si>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</si>
  <si>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</si>
  <si>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</si>
  <si>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</si>
  <si>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</si>
  <si>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</si>
  <si>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</si>
  <si>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</si>
  <si>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</si>
  <si>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</si>
  <si>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</si>
  <si>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</si>
  <si>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</si>
  <si>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</si>
  <si>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</si>
  <si>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</si>
  <si>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</si>
  <si>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</si>
  <si>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</si>
  <si>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</si>
  <si>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</si>
  <si>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</si>
  <si>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</si>
  <si>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</si>
  <si>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</si>
  <si>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</si>
  <si>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</si>
  <si>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</si>
  <si>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</si>
  <si>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</si>
  <si>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</si>
  <si>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</si>
  <si>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</si>
  <si>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</si>
  <si>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</si>
  <si>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</si>
  <si>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</si>
  <si>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</si>
  <si>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</si>
  <si>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</si>
  <si>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</si>
  <si>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</si>
  <si>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</si>
  <si>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</si>
  <si>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</si>
  <si>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</si>
  <si>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</si>
  <si>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</si>
  <si>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</si>
  <si>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</si>
  <si>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</si>
  <si>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</si>
  <si>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</si>
  <si>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</si>
  <si>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</si>
  <si>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</si>
  <si>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</si>
  <si>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</si>
  <si>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</si>
  <si>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</si>
  <si>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</si>
  <si>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</si>
  <si>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</si>
  <si>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</si>
  <si>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</si>
  <si>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</si>
  <si>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</si>
  <si>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</si>
  <si>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</si>
  <si>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</si>
  <si>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</si>
  <si>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</si>
  <si>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</si>
  <si>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</si>
  <si>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</si>
  <si>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</si>
  <si>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</si>
  <si>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</si>
  <si>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</si>
  <si>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</si>
  <si>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</si>
  <si>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</si>
  <si>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</si>
  <si>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</si>
  <si>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</si>
  <si>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</si>
  <si>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</si>
  <si>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</si>
  <si>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</si>
  <si>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</si>
  <si>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</si>
  <si>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</si>
  <si>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</si>
  <si>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</si>
  <si>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</si>
  <si>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</si>
  <si>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</si>
  <si>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</si>
  <si>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</si>
  <si>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</si>
  <si>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</si>
  <si>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</si>
  <si>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</si>
  <si>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</si>
  <si>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</si>
  <si>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</si>
  <si>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</si>
  <si>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</si>
  <si>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</si>
  <si>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</si>
  <si>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</si>
  <si>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</si>
  <si>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</si>
  <si>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</si>
  <si>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</si>
  <si>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</si>
  <si>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</si>
  <si>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</si>
  <si>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</si>
  <si>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</si>
  <si>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</si>
  <si>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</si>
  <si>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</si>
  <si>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</si>
  <si>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</si>
  <si>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</si>
  <si>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</si>
  <si>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</si>
  <si>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</si>
  <si>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</si>
  <si>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</si>
  <si>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</si>
  <si>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</si>
  <si>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</si>
  <si>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</si>
  <si>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</si>
  <si>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</si>
  <si>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</si>
  <si>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</si>
  <si>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</si>
  <si>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</si>
  <si>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</si>
  <si>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</si>
  <si>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</si>
  <si>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</si>
  <si>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</si>
  <si>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</si>
  <si>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</si>
  <si>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</si>
  <si>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</si>
  <si>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</si>
  <si>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</si>
  <si>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</si>
  <si>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</si>
  <si>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</si>
  <si>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</si>
  <si>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</si>
  <si>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</si>
  <si>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</si>
  <si>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</si>
  <si>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</si>
  <si>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</si>
  <si>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</si>
  <si>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</si>
  <si>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</si>
  <si>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</si>
  <si>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</si>
  <si>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</si>
  <si>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</si>
  <si>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</si>
  <si>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</si>
  <si>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</si>
  <si>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</si>
  <si>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</si>
  <si>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</si>
  <si>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</si>
  <si>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</si>
  <si>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</si>
  <si>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</si>
  <si>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</si>
  <si>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</si>
  <si>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</si>
  <si>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</si>
  <si>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</si>
  <si>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</si>
  <si>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</si>
  <si>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</si>
  <si>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</si>
  <si>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</si>
  <si>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</si>
  <si>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</si>
  <si>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</si>
  <si>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</si>
  <si>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</si>
  <si>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</si>
  <si>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</si>
  <si>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</si>
  <si>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</si>
  <si>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</si>
  <si>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</si>
  <si>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</si>
  <si>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</si>
  <si>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</si>
  <si>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</si>
  <si>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</si>
  <si>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</si>
  <si>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</si>
  <si>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</si>
  <si>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</si>
  <si>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</si>
  <si>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</si>
  <si>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</si>
  <si>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</si>
  <si>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</si>
  <si>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</si>
  <si>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</si>
  <si>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</si>
  <si>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</si>
  <si>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</si>
  <si>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</si>
  <si>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</si>
  <si>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</si>
  <si>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</si>
  <si>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</si>
  <si>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</si>
  <si>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</si>
  <si>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</si>
  <si>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</si>
  <si>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</si>
  <si>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</si>
  <si>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</si>
  <si>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</si>
  <si>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</si>
  <si>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</si>
  <si>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</si>
  <si>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</si>
  <si>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</si>
  <si>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</si>
  <si>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</si>
  <si>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</si>
  <si>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</si>
  <si>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</si>
  <si>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</si>
  <si>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</si>
  <si>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</si>
  <si>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</si>
  <si>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</si>
  <si>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</si>
  <si>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</si>
  <si>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</si>
  <si>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</si>
  <si>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</si>
  <si>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</si>
  <si>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</si>
  <si>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</si>
  <si>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</si>
  <si>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</si>
  <si>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</si>
  <si>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</si>
  <si>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</si>
  <si>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</si>
  <si>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</si>
  <si>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</si>
  <si>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</si>
  <si>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</si>
  <si>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</si>
  <si>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</si>
  <si>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</si>
  <si>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</si>
  <si>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</si>
  <si>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</si>
  <si>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</si>
  <si>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</si>
  <si>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</si>
  <si>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</si>
  <si>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</si>
  <si>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</si>
  <si>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</si>
  <si>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</si>
  <si>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</si>
  <si>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</si>
  <si>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</si>
  <si>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</si>
  <si>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</si>
  <si>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</si>
  <si>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</si>
  <si>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</si>
  <si>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</si>
  <si>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</si>
  <si>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</si>
  <si>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</si>
  <si>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</si>
  <si>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</si>
  <si>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</si>
  <si>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</si>
  <si>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</si>
  <si>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</si>
  <si>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</si>
  <si>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</si>
  <si>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</si>
  <si>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</si>
  <si>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</si>
  <si>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</si>
  <si>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</si>
  <si>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</si>
  <si>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</si>
  <si>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</si>
  <si>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</si>
  <si>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</si>
  <si>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</si>
  <si>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</si>
  <si>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</si>
  <si>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</si>
  <si>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</si>
  <si>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</si>
  <si>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</si>
  <si>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</si>
  <si>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</si>
  <si>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</si>
  <si>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</si>
  <si>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</si>
  <si>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</si>
  <si>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</si>
  <si>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</si>
  <si>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</si>
  <si>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</si>
  <si>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</si>
  <si>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</si>
  <si>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</si>
  <si>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</si>
  <si>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</si>
  <si>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</si>
  <si>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</si>
  <si>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</si>
  <si>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</si>
  <si>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</si>
  <si>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</si>
  <si>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</si>
  <si>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</si>
  <si>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</si>
  <si>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</si>
  <si>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</si>
  <si>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</si>
  <si>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</si>
  <si>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</si>
  <si>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</si>
  <si>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</si>
  <si>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</si>
  <si>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</si>
  <si>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</si>
  <si>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</si>
  <si>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</si>
  <si>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</si>
  <si>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</si>
  <si>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</si>
  <si>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</si>
  <si>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</si>
  <si>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</si>
  <si>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</si>
  <si>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</si>
  <si>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</si>
  <si>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</si>
  <si>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</si>
  <si>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</si>
  <si>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</si>
  <si>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</si>
  <si>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</si>
  <si>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</si>
  <si>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</si>
  <si>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</si>
  <si>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</si>
  <si>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</si>
  <si>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</si>
  <si>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</si>
  <si>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</si>
  <si>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</si>
  <si>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</si>
  <si>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</si>
  <si>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</si>
  <si>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</si>
  <si>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</si>
  <si>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</si>
  <si>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</si>
  <si>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</si>
  <si>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</si>
  <si>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</si>
  <si>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</si>
  <si>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</si>
  <si>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</si>
  <si>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</si>
  <si>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</si>
  <si>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</si>
  <si>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</si>
  <si>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</si>
  <si>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</si>
  <si>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</si>
  <si>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</si>
  <si>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</si>
  <si>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</si>
  <si>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</si>
  <si>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</si>
  <si>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</si>
  <si>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</si>
  <si>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</si>
  <si>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</si>
  <si>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</si>
  <si>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</si>
  <si>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</si>
  <si>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</si>
  <si>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</si>
  <si>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</si>
  <si>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</si>
  <si>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</si>
  <si>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</si>
  <si>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</si>
  <si>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</si>
  <si>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</si>
  <si>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</si>
  <si>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</si>
  <si>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</si>
  <si>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</si>
  <si>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</si>
  <si>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</si>
  <si>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</si>
  <si>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</si>
  <si>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</si>
  <si>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</si>
  <si>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</si>
  <si>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</si>
  <si>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</si>
  <si>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</si>
  <si>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</si>
  <si>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</si>
  <si>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</si>
  <si>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</si>
  <si>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</si>
  <si>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</si>
  <si>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</si>
  <si>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</si>
  <si>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</si>
  <si>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</si>
  <si>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</si>
  <si>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</si>
  <si>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</si>
  <si>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</si>
  <si>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</si>
  <si>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</si>
  <si>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</si>
  <si>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</si>
  <si>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</si>
  <si>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</si>
  <si>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</si>
  <si>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</si>
  <si>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</si>
  <si>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</si>
  <si>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</si>
  <si>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</si>
  <si>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</si>
  <si>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</si>
  <si>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</si>
  <si>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</si>
  <si>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</si>
  <si>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</si>
  <si>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</si>
  <si>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</si>
  <si>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</si>
  <si>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</si>
  <si>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</si>
  <si>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</si>
  <si>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</si>
  <si>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</si>
  <si>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</si>
  <si>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</si>
  <si>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</si>
  <si>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</si>
  <si>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</si>
  <si>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</si>
  <si>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</si>
  <si>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</si>
  <si>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</si>
  <si>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</si>
  <si>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</si>
  <si>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</si>
  <si>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</si>
  <si>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</si>
  <si>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</si>
  <si>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</si>
  <si>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</si>
  <si>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</si>
  <si>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</si>
  <si>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</si>
  <si>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</si>
  <si>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</si>
  <si>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</si>
  <si>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</si>
  <si>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</si>
  <si>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</si>
  <si>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</si>
  <si>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</si>
  <si>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</si>
  <si>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</si>
  <si>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</si>
  <si>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</si>
  <si>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</si>
  <si>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</si>
  <si>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</si>
  <si>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</si>
  <si>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</si>
  <si>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</si>
  <si>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</si>
  <si>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</si>
  <si>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</si>
  <si>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</si>
  <si>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</si>
  <si>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</si>
  <si>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</si>
  <si>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</si>
  <si>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</si>
  <si>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</si>
  <si>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</si>
  <si>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</si>
  <si>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</si>
  <si>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</si>
  <si>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</si>
  <si>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</si>
  <si>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</si>
  <si>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</si>
  <si>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</si>
  <si>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</si>
  <si>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</si>
  <si>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</si>
  <si>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</si>
  <si>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</si>
  <si>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</si>
  <si>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</si>
  <si>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</si>
  <si>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</si>
  <si>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</si>
  <si>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</si>
  <si>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</si>
  <si>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</si>
  <si>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</si>
  <si>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</si>
  <si>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</si>
  <si>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</si>
  <si>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</si>
  <si>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</si>
  <si>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</si>
  <si>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</si>
  <si>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</si>
  <si>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</si>
  <si>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</si>
  <si>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</si>
  <si>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</si>
  <si>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</si>
  <si>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</si>
  <si>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</si>
  <si>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</si>
  <si>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</si>
  <si>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</si>
  <si>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</si>
  <si>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</si>
  <si>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</si>
  <si>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</si>
  <si>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</si>
  <si>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</si>
  <si>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</si>
  <si>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</si>
  <si>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</si>
  <si>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</si>
  <si>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</si>
  <si>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</si>
  <si>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</si>
  <si>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</si>
  <si>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</si>
  <si>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</si>
  <si>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</si>
  <si>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</si>
  <si>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</si>
  <si>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</si>
  <si>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</si>
  <si>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</si>
  <si>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</si>
  <si>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</si>
  <si>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</si>
  <si>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</si>
  <si>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</si>
  <si>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</si>
  <si>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</si>
  <si>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</si>
  <si>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</si>
  <si>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</si>
  <si>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</si>
  <si>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</si>
  <si>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</si>
  <si>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</si>
  <si>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</si>
  <si>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</si>
  <si>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</si>
  <si>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</si>
  <si>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</si>
  <si>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</si>
  <si>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</si>
  <si>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</si>
  <si>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</si>
  <si>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</si>
  <si>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</si>
  <si>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</si>
  <si>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</si>
  <si>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</si>
  <si>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</si>
  <si>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</si>
  <si>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</si>
  <si>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</si>
  <si>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</si>
  <si>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</si>
  <si>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</si>
  <si>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</si>
  <si>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</si>
  <si>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</si>
  <si>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</si>
  <si>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</si>
  <si>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</si>
  <si>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</si>
  <si>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</si>
  <si>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</si>
  <si>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</si>
  <si>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</si>
  <si>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</si>
  <si>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</si>
  <si>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</si>
  <si>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</si>
  <si>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</si>
  <si>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</si>
  <si>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</si>
  <si>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</si>
  <si>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</si>
  <si>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</si>
  <si>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</si>
  <si>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</si>
  <si>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</si>
  <si>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</si>
  <si>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</si>
  <si>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</si>
  <si>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</si>
  <si>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</si>
  <si>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</si>
  <si>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</si>
  <si>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</si>
  <si>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</si>
  <si>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</si>
  <si>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</si>
  <si>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</si>
  <si>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</si>
  <si>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</si>
  <si>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</si>
  <si>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</si>
  <si>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</si>
  <si>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</si>
  <si>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</si>
  <si>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</si>
  <si>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</si>
  <si>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</si>
  <si>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</si>
  <si>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</si>
  <si>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</si>
  <si>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</si>
  <si>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</si>
  <si>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</si>
  <si>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</si>
  <si>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</si>
  <si>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</si>
  <si>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</si>
  <si>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</si>
  <si>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</si>
  <si>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</si>
  <si>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</si>
  <si>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</si>
  <si>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</si>
  <si>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</si>
  <si>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</si>
  <si>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</si>
  <si>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</si>
  <si>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</si>
  <si>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</si>
  <si>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</si>
  <si>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</si>
  <si>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</si>
  <si>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</si>
  <si>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</si>
  <si>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</si>
  <si>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</si>
  <si>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</si>
  <si>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</si>
  <si>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</si>
  <si>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</si>
  <si>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</si>
  <si>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</si>
  <si>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</si>
  <si>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</si>
  <si>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</si>
  <si>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</si>
  <si>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</si>
  <si>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</si>
  <si>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</si>
  <si>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</si>
  <si>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</si>
  <si>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</si>
  <si>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</si>
  <si>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</si>
  <si>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</si>
  <si>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</si>
  <si>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</si>
  <si>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</si>
  <si>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</si>
  <si>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</si>
  <si>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</si>
  <si>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</si>
  <si>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</si>
  <si>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</si>
  <si>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</si>
  <si>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</si>
  <si>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</si>
  <si>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</si>
  <si>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</si>
  <si>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</si>
  <si>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</si>
  <si>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</si>
  <si>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</si>
  <si>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</si>
  <si>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</si>
  <si>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</si>
  <si>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</si>
  <si>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</si>
  <si>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</si>
  <si>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</si>
  <si>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</si>
  <si>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</si>
  <si>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</si>
  <si>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</si>
  <si>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</si>
  <si>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</si>
  <si>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</si>
  <si>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</si>
  <si>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</si>
  <si>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</si>
  <si>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</si>
  <si>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</si>
  <si>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</si>
  <si>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</si>
  <si>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</si>
  <si>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</si>
  <si>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</si>
  <si>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</si>
  <si>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</si>
  <si>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</si>
  <si>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</si>
  <si>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</si>
  <si>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</si>
  <si>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</si>
  <si>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</si>
  <si>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</si>
  <si>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</si>
  <si>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</si>
  <si>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</si>
  <si>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</si>
  <si>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</si>
  <si>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</si>
  <si>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</si>
  <si>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</si>
  <si>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</si>
  <si>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</si>
  <si>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</si>
  <si>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</si>
  <si>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</si>
  <si>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</si>
  <si>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</si>
  <si>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</si>
  <si>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</si>
  <si>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</si>
  <si>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</si>
  <si>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</si>
  <si>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</si>
  <si>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</si>
  <si>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</si>
  <si>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</si>
  <si>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</si>
  <si>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</si>
  <si>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</si>
  <si>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</si>
  <si>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</si>
  <si>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</si>
  <si>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</si>
  <si>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</si>
  <si>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</si>
  <si>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</si>
  <si>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</si>
  <si>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</si>
  <si>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</si>
  <si>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</si>
  <si>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</si>
  <si>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</si>
  <si>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</si>
  <si>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</si>
  <si>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</si>
  <si>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</si>
  <si>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</si>
  <si>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</si>
  <si>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</si>
  <si>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</si>
  <si>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</si>
  <si>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</si>
  <si>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</si>
  <si>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</si>
  <si>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</si>
  <si>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</si>
  <si>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</si>
  <si>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</si>
  <si>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</si>
  <si>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</si>
  <si>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</si>
  <si>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</si>
  <si>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</si>
  <si>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</si>
  <si>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</si>
  <si>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</si>
  <si>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</si>
  <si>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</si>
  <si>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</si>
  <si>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</si>
  <si>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</si>
  <si>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</si>
  <si>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</si>
  <si>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</si>
  <si>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</si>
  <si>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</si>
  <si>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</si>
  <si>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</si>
  <si>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</si>
  <si>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</si>
  <si>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</si>
  <si>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</si>
  <si>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</si>
  <si>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</si>
  <si>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</si>
  <si>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</si>
  <si>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</si>
  <si>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</si>
  <si>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</si>
  <si>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</si>
  <si>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</si>
  <si>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</si>
  <si>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</si>
  <si>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</si>
  <si>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</si>
  <si>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</si>
  <si>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</si>
  <si>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</si>
  <si>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</si>
  <si>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</si>
  <si>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</si>
  <si>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</si>
  <si>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</si>
  <si>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</si>
  <si>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</si>
  <si>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</si>
  <si>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</si>
  <si>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</si>
  <si>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</si>
  <si>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</si>
  <si>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</si>
  <si>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</si>
  <si>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</si>
  <si>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</si>
  <si>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</si>
  <si>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</si>
  <si>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</si>
  <si>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</si>
  <si>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</si>
  <si>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</si>
  <si>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</si>
  <si>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</si>
  <si>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</si>
  <si>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</si>
  <si>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</si>
  <si>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</si>
  <si>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</si>
  <si>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</si>
  <si>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</si>
  <si>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</si>
  <si>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</si>
  <si>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</si>
  <si>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</si>
  <si>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</si>
  <si>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</si>
  <si>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</si>
  <si>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</si>
  <si>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</si>
  <si>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</si>
  <si>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</si>
  <si>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</si>
  <si>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</si>
  <si>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</si>
  <si>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</si>
  <si>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</si>
  <si>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</si>
  <si>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</si>
  <si>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</si>
  <si>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</si>
  <si>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</si>
  <si>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</si>
  <si>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</si>
  <si>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</si>
  <si>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</si>
  <si>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</si>
  <si>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</si>
  <si>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</si>
  <si>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</si>
  <si>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</si>
  <si>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</si>
  <si>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</si>
  <si>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</si>
  <si>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</si>
  <si>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</si>
  <si>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</si>
  <si>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</si>
  <si>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</si>
  <si>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</si>
  <si>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</si>
  <si>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</si>
  <si>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</si>
  <si>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</si>
  <si>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</si>
  <si>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</si>
  <si>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</si>
  <si>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</si>
  <si>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</si>
  <si>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</si>
  <si>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</si>
  <si>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</si>
  <si>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</si>
  <si>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</si>
  <si>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</si>
  <si>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</si>
  <si>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</si>
  <si>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</si>
  <si>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</si>
  <si>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</si>
  <si>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</si>
  <si>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</si>
  <si>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</si>
  <si>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</si>
  <si>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</si>
  <si>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</si>
  <si>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</si>
  <si>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</si>
  <si>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</si>
  <si>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</si>
  <si>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</si>
  <si>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</si>
  <si>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</si>
  <si>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</si>
  <si>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</si>
  <si>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</si>
  <si>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</si>
  <si>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</si>
  <si>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</si>
  <si>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</si>
  <si>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</si>
  <si>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</si>
  <si>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</si>
  <si>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</si>
  <si>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</si>
  <si>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</si>
  <si>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</si>
  <si>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</si>
  <si>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</si>
  <si>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</si>
  <si>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</si>
  <si>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</si>
  <si>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</si>
  <si>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</si>
  <si>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</si>
  <si>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</si>
  <si>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</si>
  <si>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</si>
  <si>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</si>
  <si>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</si>
  <si>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</si>
  <si>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</si>
  <si>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</si>
  <si>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</si>
  <si>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</si>
  <si>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</si>
  <si>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</si>
  <si>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</si>
  <si>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</si>
  <si>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</si>
  <si>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</si>
  <si>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</si>
  <si>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</si>
  <si>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</si>
  <si>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</si>
  <si>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</si>
  <si>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</si>
  <si>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</si>
  <si>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</si>
  <si>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</si>
  <si>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</si>
  <si>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</si>
  <si>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</si>
  <si>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</si>
  <si>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</si>
  <si>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</si>
  <si>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</si>
  <si>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</si>
  <si>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</si>
  <si>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</si>
  <si>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</si>
  <si>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</si>
  <si>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</si>
  <si>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</si>
  <si>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</si>
  <si>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</si>
  <si>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</si>
  <si>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</si>
  <si>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</si>
  <si>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</si>
  <si>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</si>
  <si>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</si>
  <si>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</si>
  <si>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</si>
  <si>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</si>
  <si>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</si>
  <si>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</si>
  <si>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</si>
  <si>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</si>
  <si>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</si>
  <si>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</si>
  <si>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</si>
  <si>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</si>
  <si>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</si>
  <si>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</si>
  <si>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</si>
  <si>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</si>
  <si>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</si>
  <si>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</si>
  <si>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</si>
  <si>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</si>
  <si>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</si>
  <si>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</si>
  <si>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</si>
  <si>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</si>
  <si>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</si>
  <si>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</si>
  <si>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</si>
  <si>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</si>
  <si>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</si>
  <si>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</si>
  <si>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</si>
  <si>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</si>
  <si>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</si>
  <si>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</si>
  <si>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</si>
  <si>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</si>
  <si>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</si>
  <si>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</si>
  <si>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</si>
  <si>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</si>
  <si>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</si>
  <si>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</si>
  <si>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</si>
  <si>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</si>
  <si>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</si>
  <si>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</si>
  <si>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</si>
  <si>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</si>
  <si>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</si>
  <si>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</si>
  <si>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</si>
  <si>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</si>
  <si>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</si>
  <si>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</si>
  <si>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</si>
  <si>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</si>
  <si>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</si>
  <si>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</si>
  <si>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</si>
  <si>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</si>
  <si>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</si>
  <si>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</si>
  <si>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</si>
  <si>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</si>
  <si>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</si>
  <si>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</si>
  <si>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</si>
  <si>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</si>
  <si>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</si>
  <si>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</si>
  <si>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</si>
  <si>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</si>
  <si>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</si>
  <si>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</si>
  <si>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</si>
  <si>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</si>
  <si>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</si>
  <si>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</si>
  <si>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</si>
  <si>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</si>
  <si>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</si>
  <si>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</si>
  <si>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</si>
  <si>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</si>
  <si>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</si>
  <si>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</si>
  <si>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</si>
  <si>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</si>
  <si>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</si>
  <si>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</si>
  <si>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</si>
  <si>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</si>
  <si>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</si>
  <si>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</si>
  <si>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</si>
  <si>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</si>
  <si>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</si>
  <si>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</si>
  <si>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</si>
  <si>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</si>
  <si>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</si>
  <si>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</si>
  <si>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</si>
  <si>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</si>
  <si>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</si>
  <si>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</si>
  <si>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</si>
  <si>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</si>
  <si>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</si>
  <si>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</si>
  <si>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</si>
  <si>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</si>
  <si>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</si>
  <si>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</si>
  <si>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</si>
  <si>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</si>
  <si>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</si>
  <si>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</si>
  <si>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</si>
  <si>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</si>
  <si>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</si>
  <si>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</si>
  <si>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</si>
  <si>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</si>
  <si>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</si>
  <si>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</si>
  <si>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</si>
  <si>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</si>
  <si>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</si>
  <si>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</si>
  <si>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</si>
  <si>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</si>
  <si>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</si>
  <si>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</si>
  <si>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</si>
  <si>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</si>
  <si>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</si>
  <si>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</si>
  <si>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</si>
  <si>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</si>
  <si>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</si>
  <si>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</si>
  <si>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</si>
  <si>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</si>
  <si>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</si>
  <si>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</si>
  <si>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</si>
  <si>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</si>
  <si>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</si>
  <si>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</si>
  <si>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</si>
  <si>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</si>
  <si>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</si>
  <si>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</si>
  <si>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</si>
  <si>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</si>
  <si>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</si>
  <si>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</si>
  <si>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</si>
  <si>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</si>
  <si>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</si>
  <si>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</si>
  <si>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</si>
  <si>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</si>
  <si>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</si>
  <si>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</si>
  <si>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</si>
  <si>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</si>
  <si>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</si>
  <si>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</si>
  <si>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</si>
  <si>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</si>
  <si>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</si>
  <si>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</si>
  <si>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</si>
  <si>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</si>
  <si>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</si>
  <si>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</si>
  <si>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</si>
  <si>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</si>
  <si>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</si>
  <si>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</si>
  <si>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</si>
  <si>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</si>
  <si>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</si>
  <si>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</si>
  <si>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</si>
  <si>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</si>
  <si>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</si>
  <si>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</si>
  <si>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</si>
  <si>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</si>
  <si>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</si>
  <si>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</si>
  <si>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</si>
  <si>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</si>
  <si>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</si>
  <si>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</si>
  <si>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</si>
  <si>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</si>
  <si>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</si>
  <si>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</si>
  <si>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</si>
  <si>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</si>
  <si>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</si>
  <si>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</si>
  <si>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</si>
  <si>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</si>
  <si>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</si>
  <si>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</si>
  <si>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</si>
  <si>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</si>
  <si>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</si>
  <si>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</si>
  <si>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</si>
  <si>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</si>
  <si>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</si>
  <si>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</si>
  <si>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</si>
  <si>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</si>
  <si>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</si>
  <si>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</si>
  <si>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</si>
  <si>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</si>
  <si>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</si>
  <si>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</si>
  <si>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</si>
  <si>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</si>
  <si>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</si>
  <si>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</si>
  <si>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</si>
  <si>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</si>
  <si>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</si>
  <si>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</si>
  <si>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</si>
  <si>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</si>
  <si>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</si>
  <si>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</si>
  <si>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</si>
  <si>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</si>
  <si>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</si>
  <si>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</si>
  <si>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</si>
  <si>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</si>
  <si>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</si>
  <si>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</si>
  <si>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</si>
  <si>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</si>
  <si>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</si>
  <si>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</si>
  <si>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</si>
  <si>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</si>
  <si>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</si>
  <si>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</si>
  <si>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</si>
  <si>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</si>
  <si>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</si>
  <si>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</si>
  <si>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</si>
  <si>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</si>
  <si>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</si>
  <si>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</si>
  <si>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</si>
  <si>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</si>
  <si>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</si>
  <si>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</si>
  <si>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</si>
  <si>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</si>
  <si>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</si>
  <si>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</si>
  <si>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</si>
  <si>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</si>
  <si>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</si>
  <si>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</si>
  <si>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</si>
  <si>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</si>
  <si>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</si>
  <si>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</si>
  <si>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</si>
  <si>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</si>
  <si>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</si>
  <si>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</si>
  <si>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</si>
  <si>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</si>
  <si>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</si>
  <si>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</si>
  <si>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</si>
  <si>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</si>
  <si>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</si>
  <si>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</si>
  <si>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</si>
  <si>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</si>
  <si>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</si>
  <si>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</si>
  <si>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</si>
  <si>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</si>
  <si>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</si>
  <si>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</si>
  <si>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</si>
  <si>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</si>
  <si>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</si>
  <si>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</si>
  <si>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</si>
  <si>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</si>
  <si>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</si>
  <si>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</si>
  <si>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</si>
  <si>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</si>
  <si>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</si>
  <si>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</si>
  <si>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</si>
  <si>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</si>
  <si>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</si>
  <si>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</si>
  <si>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</si>
  <si>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</si>
  <si>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</si>
  <si>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</si>
  <si>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</si>
  <si>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</si>
  <si>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</si>
  <si>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</si>
  <si>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</si>
  <si>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</si>
  <si>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</si>
  <si>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</si>
  <si>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</si>
  <si>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</si>
  <si>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</si>
  <si>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</si>
  <si>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</si>
  <si>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</si>
  <si>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</si>
  <si>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</si>
  <si>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</si>
  <si>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</si>
  <si>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</si>
  <si>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</si>
  <si>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</si>
  <si>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</si>
  <si>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</si>
  <si>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</si>
  <si>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</si>
  <si>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</si>
  <si>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</si>
  <si>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</si>
  <si>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</si>
  <si>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</si>
  <si>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</si>
  <si>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</si>
  <si>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</si>
  <si>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</si>
  <si>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</si>
  <si>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</si>
  <si>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</si>
  <si>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</si>
  <si>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</si>
  <si>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</si>
  <si>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</si>
  <si>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</si>
  <si>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</si>
  <si>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</si>
  <si>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</si>
  <si>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</si>
  <si>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</si>
  <si>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</si>
  <si>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</si>
  <si>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</si>
  <si>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</si>
  <si>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</si>
  <si>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</si>
  <si>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</si>
  <si>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</si>
  <si>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</si>
  <si>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</si>
  <si>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</si>
  <si>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</si>
  <si>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</si>
  <si>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</si>
  <si>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</si>
  <si>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</si>
  <si>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</si>
  <si>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</si>
  <si>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</si>
  <si>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</si>
  <si>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</si>
  <si>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</si>
  <si>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</si>
  <si>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</si>
  <si>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</si>
  <si>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</si>
  <si>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</si>
  <si>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</si>
  <si>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</si>
  <si>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</si>
  <si>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</si>
  <si>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</si>
  <si>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</si>
  <si>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</si>
  <si>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</si>
  <si>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</si>
  <si>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</si>
  <si>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</si>
  <si>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</si>
  <si>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</si>
  <si>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</si>
  <si>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</si>
  <si>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</si>
  <si>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</si>
  <si>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</si>
  <si>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</si>
  <si>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</si>
  <si>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</si>
  <si>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</si>
  <si>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</si>
  <si>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</si>
  <si>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</si>
  <si>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</si>
  <si>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</si>
  <si>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</si>
  <si>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</si>
  <si>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</si>
  <si>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</si>
  <si>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</si>
  <si>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</si>
  <si>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</si>
  <si>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</si>
  <si>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</si>
  <si>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</si>
  <si>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</si>
  <si>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</si>
  <si>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</si>
  <si>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</si>
  <si>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</si>
  <si>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</si>
  <si>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</si>
  <si>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</si>
  <si>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</si>
  <si>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</si>
  <si>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</si>
  <si>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</si>
  <si>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</si>
  <si>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</si>
  <si>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</si>
  <si>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</si>
  <si>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</si>
  <si>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</si>
  <si>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</si>
  <si>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</si>
  <si>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</si>
  <si>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</si>
  <si>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</si>
  <si>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</si>
  <si>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</si>
  <si>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</si>
  <si>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</si>
  <si>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</si>
  <si>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</si>
  <si>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</si>
  <si>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</si>
  <si>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</si>
  <si>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</si>
  <si>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</si>
  <si>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</si>
  <si>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</si>
  <si>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</si>
  <si>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</si>
  <si>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</si>
  <si>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</si>
  <si>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</si>
  <si>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</si>
  <si>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</si>
  <si>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</si>
  <si>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</si>
  <si>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</si>
  <si>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</si>
  <si>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</si>
  <si>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</si>
  <si>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</si>
  <si>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</si>
  <si>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</si>
  <si>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</si>
  <si>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</si>
  <si>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</si>
  <si>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</si>
  <si>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</si>
  <si>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</si>
  <si>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</si>
  <si>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</si>
  <si>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</si>
  <si>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</si>
  <si>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</si>
  <si>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</si>
  <si>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</si>
  <si>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</si>
  <si>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</si>
  <si>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</si>
  <si>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</si>
  <si>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</si>
  <si>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</si>
  <si>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</si>
  <si>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</si>
  <si>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</si>
  <si>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</si>
  <si>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</si>
  <si>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</si>
  <si>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</si>
  <si>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</si>
  <si>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</si>
  <si>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</si>
  <si>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</si>
  <si>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</si>
  <si>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</si>
  <si>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</si>
  <si>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</si>
  <si>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</si>
  <si>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</si>
  <si>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</si>
  <si>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</si>
  <si>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</si>
  <si>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</si>
  <si>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</si>
  <si>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</si>
  <si>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</si>
  <si>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</si>
  <si>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</si>
  <si>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</si>
  <si>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</si>
  <si>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</si>
  <si>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</si>
  <si>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</si>
  <si>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</si>
  <si>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</si>
  <si>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</si>
  <si>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</si>
  <si>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</si>
  <si>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</si>
  <si>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</si>
  <si>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</si>
  <si>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</si>
  <si>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</si>
  <si>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</si>
  <si>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</si>
  <si>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</si>
  <si>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</si>
  <si>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</si>
  <si>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</si>
  <si>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</si>
  <si>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</si>
  <si>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</si>
  <si>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</si>
  <si>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</si>
  <si>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</si>
  <si>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</si>
  <si>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</si>
  <si>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</si>
  <si>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</si>
  <si>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</si>
  <si>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</si>
  <si>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</si>
  <si>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</si>
  <si>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</si>
  <si>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</si>
  <si>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</si>
  <si>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</si>
  <si>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</si>
  <si>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</si>
  <si>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</si>
  <si>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</si>
  <si>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</si>
  <si>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</si>
  <si>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</si>
  <si>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</si>
  <si>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</si>
  <si>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</si>
  <si>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</si>
  <si>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</si>
  <si>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</si>
  <si>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</si>
  <si>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</si>
  <si>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</si>
  <si>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</si>
  <si>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</si>
  <si>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</si>
  <si>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</si>
  <si>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</si>
  <si>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</si>
  <si>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</si>
  <si>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</si>
  <si>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</si>
  <si>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</si>
  <si>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</si>
  <si>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</si>
  <si>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</si>
  <si>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</si>
  <si>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</si>
  <si>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</si>
  <si>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</si>
  <si>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</si>
  <si>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</si>
  <si>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</si>
  <si>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</si>
  <si>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</si>
  <si>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</si>
  <si>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</si>
  <si>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</si>
  <si>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</si>
  <si>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</si>
  <si>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</si>
  <si>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</si>
  <si>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</si>
  <si>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</si>
  <si>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</si>
  <si>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</si>
  <si>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</si>
  <si>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</si>
  <si>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</si>
  <si>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</si>
  <si>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</si>
  <si>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</si>
  <si>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</si>
  <si>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</si>
  <si>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</si>
  <si>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</si>
  <si>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</si>
  <si>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</si>
  <si>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</si>
  <si>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</si>
  <si>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</si>
  <si>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</si>
  <si>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</si>
  <si>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</si>
  <si>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</si>
  <si>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</si>
  <si>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</si>
  <si>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</si>
  <si>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</si>
  <si>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</si>
  <si>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</si>
  <si>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</si>
  <si>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</si>
  <si>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</si>
  <si>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</si>
  <si>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</si>
  <si>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</si>
  <si>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</si>
  <si>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</si>
  <si>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</si>
  <si>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</si>
  <si>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</si>
  <si>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</si>
  <si>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</si>
  <si>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</si>
  <si>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</si>
  <si>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</si>
  <si>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</si>
  <si>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</si>
  <si>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</si>
  <si>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</si>
  <si>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</si>
  <si>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</si>
  <si>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</si>
  <si>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</si>
  <si>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</si>
  <si>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</si>
  <si>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</si>
  <si>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</si>
  <si>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</si>
  <si>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</si>
  <si>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</si>
  <si>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</si>
  <si>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</si>
  <si>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</si>
  <si>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</si>
  <si>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</si>
  <si>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</si>
  <si>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</si>
  <si>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</si>
  <si>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</si>
  <si>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</si>
  <si>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</si>
  <si>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</si>
  <si>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</si>
  <si>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</si>
  <si>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</si>
  <si>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</si>
  <si>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</si>
  <si>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</si>
  <si>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</si>
  <si>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</si>
  <si>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</si>
  <si>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</si>
  <si>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</si>
  <si>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</si>
  <si>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</si>
  <si>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</si>
  <si>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</si>
  <si>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</si>
  <si>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</si>
  <si>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</si>
  <si>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</si>
  <si>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</si>
  <si>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</si>
  <si>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</si>
  <si>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</si>
  <si>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</si>
  <si>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</si>
  <si>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</si>
  <si>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</si>
  <si>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</si>
  <si>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</si>
  <si>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</si>
  <si>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</si>
  <si>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</si>
  <si>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</si>
  <si>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</si>
  <si>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</si>
  <si>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</si>
  <si>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</si>
  <si>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</si>
  <si>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</si>
  <si>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</si>
  <si>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</si>
  <si>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</si>
  <si>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</si>
  <si>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</si>
  <si>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</si>
  <si>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</si>
  <si>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</si>
  <si>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</si>
  <si>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</si>
  <si>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</si>
  <si>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</si>
  <si>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</si>
  <si>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</si>
  <si>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</si>
  <si>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</si>
  <si>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</si>
  <si>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</si>
  <si>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</si>
  <si>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</si>
  <si>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</si>
  <si>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</si>
  <si>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</si>
  <si>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</si>
  <si>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</si>
  <si>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</si>
  <si>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</si>
  <si>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</si>
  <si>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</si>
  <si>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</si>
  <si>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</si>
  <si>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</si>
  <si>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</si>
  <si>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</si>
  <si>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</si>
  <si>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</si>
  <si>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</si>
  <si>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</si>
  <si>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</si>
  <si>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</si>
  <si>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</si>
  <si>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</si>
  <si>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</si>
  <si>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</si>
  <si>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</si>
  <si>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</si>
  <si>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</si>
  <si>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</si>
  <si>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</si>
  <si>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</si>
  <si>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</si>
  <si>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</si>
  <si>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</si>
  <si>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</si>
  <si>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</si>
  <si>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</si>
  <si>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</si>
  <si>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</si>
  <si>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</si>
  <si>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</si>
  <si>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</si>
  <si>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</si>
  <si>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</si>
  <si>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</si>
  <si>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</si>
  <si>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</si>
  <si>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</si>
  <si>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</si>
  <si>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</si>
  <si>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</si>
  <si>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</si>
  <si>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</si>
  <si>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</si>
  <si>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</si>
  <si>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</si>
  <si>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</si>
  <si>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</si>
  <si>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</si>
  <si>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</si>
  <si>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</si>
  <si>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</si>
  <si>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</si>
  <si>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</si>
  <si>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</si>
  <si>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</si>
  <si>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</si>
  <si>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</si>
  <si>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</si>
  <si>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</si>
  <si>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</si>
  <si>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</si>
  <si>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</si>
  <si>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</si>
  <si>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</si>
  <si>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</si>
  <si>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</si>
  <si>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</si>
  <si>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</si>
  <si>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</si>
  <si>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</si>
  <si>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</si>
  <si>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</si>
  <si>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</si>
  <si>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</si>
  <si>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</si>
  <si>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</si>
  <si>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</si>
  <si>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</si>
  <si>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</si>
  <si>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</si>
  <si>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</si>
  <si>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</si>
  <si>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</si>
  <si>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</si>
  <si>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</si>
  <si>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</si>
  <si>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</si>
  <si>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</si>
  <si>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</si>
  <si>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</si>
  <si>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</si>
  <si>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</si>
  <si>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</si>
  <si>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</si>
  <si>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</si>
  <si>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</si>
  <si>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</si>
  <si>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</si>
  <si>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</si>
  <si>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</si>
  <si>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</si>
  <si>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</si>
  <si>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</si>
  <si>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</si>
  <si>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</si>
  <si>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</si>
  <si>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</si>
  <si>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</si>
  <si>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</si>
  <si>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</si>
  <si>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</si>
  <si>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</si>
  <si>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</si>
  <si>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</si>
  <si>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</si>
  <si>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</si>
  <si>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</si>
  <si>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</si>
  <si>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</si>
  <si>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</si>
  <si>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</si>
  <si>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</si>
  <si>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</si>
  <si>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</si>
  <si>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</si>
  <si>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</si>
  <si>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</si>
  <si>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</si>
  <si>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</si>
  <si>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</si>
  <si>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</si>
  <si>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</si>
  <si>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</si>
  <si>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</si>
  <si>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</si>
  <si>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</si>
  <si>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</si>
  <si>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</si>
  <si>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</si>
  <si>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</si>
  <si>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</si>
  <si>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</si>
  <si>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</si>
  <si>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</si>
  <si>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</si>
  <si>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</si>
  <si>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</si>
  <si>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</si>
  <si>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</si>
  <si>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</si>
  <si>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</si>
  <si>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</si>
  <si>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</si>
  <si>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</si>
  <si>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</si>
  <si>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</si>
  <si>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</si>
  <si>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</si>
  <si>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</si>
  <si>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</si>
  <si>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</si>
  <si>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</si>
  <si>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</si>
  <si>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</si>
  <si>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</si>
  <si>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</si>
  <si>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</si>
  <si>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</si>
  <si>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</si>
  <si>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</si>
  <si>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</si>
  <si>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</si>
  <si>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</si>
  <si>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</si>
  <si>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</si>
  <si>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</si>
  <si>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</si>
  <si>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</si>
  <si>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</si>
  <si>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</si>
  <si>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</si>
  <si>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</si>
  <si>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</si>
  <si>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</si>
  <si>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</si>
  <si>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</si>
  <si>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</si>
  <si>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</si>
  <si>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</si>
  <si>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</si>
  <si>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</si>
  <si>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</si>
  <si>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</si>
  <si>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</si>
  <si>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</si>
  <si>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</si>
  <si>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</si>
  <si>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</si>
  <si>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</si>
  <si>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</si>
  <si>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</si>
  <si>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</si>
  <si>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</si>
  <si>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</si>
  <si>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</si>
  <si>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</si>
  <si>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</si>
  <si>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</si>
  <si>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</si>
  <si>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</si>
  <si>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</si>
  <si>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</si>
  <si>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</si>
  <si>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</si>
  <si>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</si>
  <si>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</si>
  <si>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</si>
  <si>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</si>
  <si>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</si>
  <si>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</si>
  <si>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</si>
  <si>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</si>
  <si>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</si>
  <si>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</si>
  <si>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</si>
  <si>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</si>
  <si>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</si>
  <si>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</si>
  <si>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</si>
  <si>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</si>
  <si>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</si>
  <si>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</si>
  <si>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</si>
  <si>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</si>
  <si>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</si>
  <si>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</si>
  <si>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</si>
  <si>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</si>
  <si>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</si>
  <si>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</si>
  <si>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</si>
  <si>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</si>
  <si>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</si>
  <si>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</si>
  <si>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</si>
  <si>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</si>
  <si>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</si>
  <si>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</si>
  <si>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</si>
  <si>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</si>
  <si>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</si>
  <si>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</si>
  <si>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</si>
  <si>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</si>
  <si>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</si>
  <si>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</si>
  <si>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</si>
  <si>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</si>
  <si>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</si>
  <si>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</si>
  <si>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</si>
  <si>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</si>
  <si>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</si>
  <si>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</si>
  <si>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</si>
  <si>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</si>
  <si>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</si>
  <si>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</si>
  <si>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</si>
  <si>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</si>
  <si>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</si>
  <si>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</si>
  <si>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</si>
  <si>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</si>
  <si>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</si>
  <si>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</si>
  <si>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</si>
  <si>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</si>
  <si>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</si>
  <si>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</si>
  <si>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</si>
  <si>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</si>
  <si>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</si>
  <si>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</si>
  <si>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</si>
  <si>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</si>
  <si>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</si>
  <si>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</si>
  <si>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</si>
  <si>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</si>
  <si>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</si>
  <si>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</si>
  <si>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</si>
  <si>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</si>
  <si>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</si>
  <si>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</si>
  <si>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</si>
  <si>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</si>
  <si>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</si>
  <si>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</si>
  <si>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</si>
  <si>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</si>
  <si>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</si>
  <si>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</si>
  <si>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</si>
  <si>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</si>
  <si>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</si>
  <si>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</si>
  <si>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</si>
  <si>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</si>
  <si>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</si>
  <si>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</si>
  <si>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</si>
  <si>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</si>
  <si>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</si>
  <si>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</si>
  <si>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</si>
  <si>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</si>
  <si>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</si>
  <si>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</si>
  <si>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</si>
  <si>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</si>
  <si>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</si>
  <si>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</si>
  <si>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</si>
  <si>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</si>
  <si>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</si>
  <si>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</si>
  <si>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</si>
  <si>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</si>
  <si>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</si>
  <si>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</si>
  <si>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</si>
  <si>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</si>
  <si>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</si>
  <si>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</si>
  <si>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</si>
  <si>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</si>
  <si>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</si>
  <si>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</si>
  <si>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</si>
  <si>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</si>
  <si>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</si>
  <si>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</si>
  <si>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</si>
  <si>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</si>
  <si>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</si>
  <si>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</si>
  <si>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</si>
  <si>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</si>
  <si>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</si>
  <si>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</si>
  <si>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</si>
  <si>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</si>
  <si>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</si>
  <si>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</si>
  <si>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</si>
  <si>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</si>
  <si>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</si>
  <si>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</si>
  <si>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</si>
  <si>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</si>
  <si>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</si>
  <si>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</si>
  <si>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</si>
  <si>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</si>
  <si>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</si>
  <si>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</si>
  <si>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</si>
  <si>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</si>
  <si>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</si>
  <si>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</si>
  <si>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</si>
  <si>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</si>
  <si>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</si>
  <si>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</si>
  <si>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</si>
  <si>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</si>
  <si>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</si>
  <si>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</si>
  <si>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</si>
  <si>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</si>
  <si>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</si>
  <si>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</si>
  <si>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</si>
  <si>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</si>
  <si>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</si>
  <si>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</si>
  <si>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</si>
  <si>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</si>
  <si>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</si>
  <si>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</si>
  <si>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</si>
  <si>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</si>
  <si>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</si>
  <si>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</si>
  <si>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</si>
  <si>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</si>
  <si>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</si>
  <si>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</si>
  <si>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</si>
  <si>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</si>
  <si>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</si>
  <si>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</si>
  <si>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</si>
  <si>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</si>
  <si>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</si>
  <si>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</si>
  <si>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</si>
  <si>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</si>
  <si>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</si>
  <si>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</si>
  <si>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</si>
  <si>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</si>
  <si>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</si>
  <si>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</si>
  <si>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</si>
  <si>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</si>
  <si>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</si>
  <si>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</si>
  <si>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</si>
  <si>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</si>
  <si>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</si>
  <si>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</si>
  <si>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</si>
  <si>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</si>
  <si>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</si>
  <si>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</si>
  <si>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</si>
  <si>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</si>
  <si>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</si>
  <si>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</si>
  <si>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</si>
  <si>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</si>
  <si>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</si>
  <si>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</si>
  <si>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</si>
  <si>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</si>
  <si>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</si>
  <si>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</si>
  <si>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</si>
  <si>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</si>
  <si>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</si>
  <si>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</si>
  <si>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</si>
  <si>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</si>
  <si>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</si>
  <si>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</si>
  <si>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</si>
  <si>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</si>
  <si>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</si>
  <si>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</si>
  <si>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</si>
  <si>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</si>
  <si>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</si>
  <si>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</si>
  <si>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</si>
  <si>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</si>
  <si>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</si>
  <si>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</si>
  <si>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</si>
  <si>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</si>
  <si>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</si>
  <si>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</si>
  <si>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</si>
  <si>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</si>
  <si>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</si>
  <si>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</si>
  <si>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</si>
  <si>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</si>
  <si>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</si>
  <si>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</si>
  <si>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</si>
  <si>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</si>
  <si>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</si>
  <si>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</si>
  <si>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</si>
  <si>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</si>
  <si>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</si>
  <si>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</si>
  <si>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</si>
  <si>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</si>
  <si>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</si>
  <si>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</si>
  <si>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</si>
  <si>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</si>
  <si>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</si>
  <si>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</si>
  <si>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</si>
  <si>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</si>
  <si>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</si>
  <si>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</si>
  <si>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</si>
  <si>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</si>
  <si>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</si>
  <si>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</si>
  <si>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</si>
  <si>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</si>
  <si>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</si>
  <si>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</si>
  <si>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</si>
  <si>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</si>
  <si>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</si>
  <si>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</si>
  <si>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</si>
  <si>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</si>
  <si>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</si>
  <si>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</si>
  <si>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</si>
  <si>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</si>
  <si>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</si>
  <si>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</si>
  <si>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</si>
  <si>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</si>
  <si>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</si>
  <si>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</si>
  <si>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</si>
  <si>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</si>
  <si>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</si>
  <si>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</si>
  <si>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</si>
  <si>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</si>
  <si>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</si>
  <si>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</si>
  <si>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</si>
  <si>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</si>
  <si>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</si>
  <si>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</si>
  <si>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</si>
  <si>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</si>
  <si>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</si>
  <si>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</si>
  <si>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</si>
  <si>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</si>
  <si>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</si>
  <si>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</si>
  <si>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</si>
  <si>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</si>
  <si>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</si>
  <si>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</si>
  <si>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</si>
  <si>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</si>
  <si>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</si>
  <si>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</si>
  <si>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</si>
  <si>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</si>
  <si>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</si>
  <si>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</si>
  <si>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</si>
  <si>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</si>
  <si>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</si>
  <si>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</si>
  <si>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</si>
  <si>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</si>
  <si>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</si>
  <si>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</si>
  <si>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</si>
  <si>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</si>
  <si>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</si>
  <si>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</si>
  <si>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</si>
  <si>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</si>
  <si>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</si>
  <si>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</si>
  <si>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</si>
  <si>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</si>
  <si>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</si>
  <si>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</si>
  <si>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</si>
  <si>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</si>
  <si>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</si>
  <si>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</si>
  <si>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</si>
  <si>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</si>
  <si>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</si>
  <si>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</si>
  <si>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</si>
  <si>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</si>
  <si>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</si>
  <si>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</si>
  <si>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</si>
  <si>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</si>
  <si>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</si>
  <si>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</si>
  <si>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</si>
  <si>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</si>
  <si>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</si>
  <si>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</si>
  <si>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</si>
  <si>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</si>
  <si>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</si>
  <si>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</si>
  <si>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</si>
  <si>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</si>
  <si>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</si>
  <si>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</si>
  <si>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</si>
  <si>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</si>
  <si>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</si>
  <si>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</si>
  <si>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</si>
  <si>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</si>
  <si>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</si>
  <si>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</si>
  <si>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</si>
  <si>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</si>
  <si>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</si>
  <si>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</si>
  <si>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</si>
  <si>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</si>
  <si>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</si>
  <si>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</si>
  <si>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</si>
  <si>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</si>
  <si>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</si>
  <si>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</si>
  <si>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</si>
  <si>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</si>
  <si>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</si>
  <si>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</si>
  <si>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</si>
  <si>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</si>
  <si>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</si>
  <si>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</si>
  <si>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</si>
  <si>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</si>
  <si>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</si>
  <si>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</si>
  <si>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</si>
  <si>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</si>
  <si>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</si>
  <si>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</si>
  <si>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</si>
  <si>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</si>
  <si>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</si>
  <si>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</si>
  <si>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</si>
  <si>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</si>
  <si>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</si>
  <si>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</si>
  <si>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</si>
  <si>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</si>
  <si>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</si>
  <si>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</si>
  <si>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</si>
  <si>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</si>
  <si>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</si>
  <si>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</si>
  <si>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</si>
  <si>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</si>
  <si>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</si>
  <si>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</si>
  <si>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</si>
  <si>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</si>
  <si>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</si>
  <si>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</si>
  <si>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</si>
  <si>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</si>
  <si>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</si>
  <si>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</si>
  <si>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</si>
  <si>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</si>
  <si>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</si>
  <si>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</si>
  <si>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</si>
  <si>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</si>
  <si>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</si>
  <si>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</si>
  <si>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</si>
  <si>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</si>
  <si>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</si>
  <si>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</si>
  <si>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</si>
  <si>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</si>
  <si>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</si>
  <si>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</si>
  <si>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</si>
  <si>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</si>
  <si>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</si>
  <si>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</si>
  <si>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</si>
  <si>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</si>
  <si>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</si>
  <si>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</si>
  <si>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</si>
  <si>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</si>
  <si>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</si>
  <si>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</si>
  <si>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</si>
  <si>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</si>
  <si>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</si>
  <si>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</si>
  <si>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</si>
  <si>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</si>
  <si>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</si>
  <si>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</si>
  <si>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</si>
  <si>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</si>
  <si>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</si>
  <si>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</si>
  <si>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</si>
  <si>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</si>
  <si>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</si>
  <si>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</si>
  <si>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</si>
  <si>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</si>
  <si>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</si>
  <si>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</si>
  <si>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</si>
  <si>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</si>
  <si>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</si>
  <si>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</si>
  <si>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</si>
  <si>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</si>
  <si>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</si>
  <si>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</si>
  <si>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</si>
  <si>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</si>
  <si>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</si>
  <si>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</si>
  <si>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</si>
  <si>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</si>
  <si>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</si>
  <si>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</si>
  <si>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</si>
  <si>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</si>
  <si>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</si>
  <si>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</si>
  <si>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</si>
  <si>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</si>
  <si>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</si>
  <si>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</si>
  <si>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</si>
  <si>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</si>
  <si>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</si>
  <si>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</si>
  <si>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</si>
  <si>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</si>
  <si>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</si>
  <si>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</si>
  <si>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</si>
  <si>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</si>
  <si>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</si>
  <si>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</si>
  <si>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</si>
  <si>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</si>
  <si>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</si>
  <si>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</si>
  <si>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</si>
  <si>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</si>
  <si>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</si>
  <si>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</si>
  <si>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</si>
  <si>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</si>
  <si>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</si>
  <si>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</si>
  <si>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</si>
  <si>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</si>
  <si>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</si>
  <si>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</si>
  <si>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</si>
  <si>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</si>
  <si>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</si>
  <si>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</si>
  <si>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</si>
  <si>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</si>
  <si>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</si>
  <si>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</si>
  <si>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</si>
  <si>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</si>
  <si>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</si>
  <si>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</si>
  <si>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</si>
  <si>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</si>
  <si>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</si>
  <si>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</si>
  <si>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</si>
  <si>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</si>
  <si>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</si>
  <si>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</si>
  <si>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</si>
  <si>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</si>
  <si>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</si>
  <si>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</si>
  <si>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</si>
  <si>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</si>
  <si>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</si>
  <si>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</si>
  <si>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</si>
  <si>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</si>
  <si>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</si>
  <si>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</si>
  <si>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</si>
  <si>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</si>
  <si>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</si>
  <si>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</si>
  <si>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</si>
  <si>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</si>
  <si>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</si>
  <si>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</si>
  <si>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</si>
  <si>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</si>
  <si>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</si>
  <si>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</si>
  <si>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</si>
  <si>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</si>
  <si>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</si>
  <si>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</si>
  <si>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</si>
  <si>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</si>
  <si>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</si>
  <si>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</si>
  <si>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</si>
  <si>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</si>
  <si>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</si>
  <si>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</si>
  <si>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</si>
  <si>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</si>
  <si>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</si>
  <si>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</si>
  <si>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</si>
  <si>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</si>
  <si>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</si>
  <si>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</si>
  <si>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</si>
  <si>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</si>
  <si>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</si>
  <si>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</si>
  <si>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</si>
  <si>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</si>
  <si>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</si>
  <si>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</si>
  <si>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</si>
  <si>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</si>
  <si>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</si>
  <si>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</si>
  <si>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</si>
  <si>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</si>
  <si>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</si>
  <si>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</si>
  <si>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</si>
  <si>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</si>
  <si>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</si>
  <si>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</si>
  <si>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</si>
  <si>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</si>
  <si>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</si>
  <si>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</si>
  <si>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</si>
  <si>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</si>
  <si>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</si>
  <si>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</si>
  <si>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</si>
  <si>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</si>
  <si>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</si>
  <si>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</si>
  <si>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</si>
  <si>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</si>
  <si>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</si>
  <si>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</si>
  <si>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</si>
  <si>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</si>
  <si>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</si>
  <si>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</si>
  <si>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</si>
  <si>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</si>
  <si>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</si>
  <si>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</si>
  <si>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</si>
  <si>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</si>
  <si>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</si>
  <si>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</si>
  <si>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</si>
  <si>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</si>
  <si>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</si>
  <si>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</si>
  <si>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</si>
  <si>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</si>
  <si>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</si>
  <si>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</si>
  <si>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</si>
  <si>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</si>
  <si>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</si>
  <si>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</si>
  <si>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</si>
  <si>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</si>
  <si>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</si>
  <si>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</si>
  <si>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</si>
  <si>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</si>
  <si>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</si>
  <si>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</si>
  <si>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</si>
  <si>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</si>
  <si>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</si>
  <si>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</si>
  <si>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</si>
  <si>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</si>
  <si>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</si>
  <si>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</si>
  <si>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</si>
  <si>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</si>
  <si>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</si>
  <si>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</si>
  <si>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</si>
  <si>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</si>
  <si>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</si>
  <si>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</si>
  <si>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</si>
  <si>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</si>
  <si>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</si>
  <si>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</si>
  <si>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</si>
  <si>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</si>
  <si>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</si>
  <si>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</si>
  <si>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</si>
  <si>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</si>
  <si>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</si>
  <si>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</si>
  <si>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</si>
  <si>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</si>
  <si>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</si>
  <si>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</si>
  <si>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</si>
  <si>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</si>
  <si>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</si>
  <si>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</si>
  <si>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</si>
  <si>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</si>
  <si>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</si>
  <si>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</si>
  <si>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</si>
  <si>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</si>
  <si>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</si>
  <si>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</si>
  <si>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</si>
  <si>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</si>
  <si>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</si>
  <si>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</si>
  <si>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</si>
  <si>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</si>
  <si>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</si>
  <si>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</si>
  <si>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</si>
  <si>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</si>
  <si>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</si>
  <si>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</si>
  <si>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</si>
  <si>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</si>
  <si>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</si>
  <si>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</si>
  <si>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</si>
  <si>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</si>
  <si>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</si>
  <si>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</si>
  <si>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</si>
  <si>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</si>
  <si>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</si>
  <si>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</si>
  <si>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</si>
  <si>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</si>
  <si>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</si>
  <si>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</si>
  <si>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</si>
  <si>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</si>
  <si>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</si>
  <si>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</si>
  <si>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</si>
  <si>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</si>
  <si>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</si>
  <si>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</si>
  <si>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</si>
  <si>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</si>
  <si>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</si>
  <si>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</si>
  <si>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</si>
  <si>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</si>
  <si>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</si>
  <si>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</si>
  <si>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</si>
  <si>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</si>
  <si>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</si>
  <si>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</si>
  <si>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</si>
  <si>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</si>
  <si>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</si>
  <si>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</si>
  <si>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</si>
  <si>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</si>
  <si>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</si>
  <si>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</si>
  <si>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</si>
  <si>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</si>
  <si>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</si>
  <si>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</si>
  <si>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</si>
  <si>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</si>
  <si>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</si>
  <si>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</si>
  <si>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</si>
  <si>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</si>
  <si>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</si>
  <si>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</si>
  <si>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</si>
  <si>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</si>
  <si>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</si>
  <si>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</si>
  <si>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</si>
  <si>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</si>
  <si>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</si>
  <si>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</si>
  <si>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</si>
  <si>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</si>
  <si>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</si>
  <si>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</si>
  <si>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</si>
  <si>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</si>
  <si>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</si>
  <si>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</si>
  <si>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</si>
  <si>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</si>
  <si>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</si>
  <si>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</si>
  <si>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</si>
  <si>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</si>
  <si>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</si>
  <si>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</si>
  <si>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</si>
  <si>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</si>
  <si>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</si>
  <si>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</si>
  <si>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</si>
  <si>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</si>
  <si>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</si>
  <si>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</si>
  <si>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</si>
  <si>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</si>
  <si>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</si>
  <si>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</si>
  <si>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</si>
  <si>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</si>
  <si>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</si>
  <si>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</si>
  <si>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</si>
  <si>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</si>
  <si>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</si>
  <si>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</si>
  <si>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</si>
  <si>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</si>
  <si>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</si>
  <si>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</si>
  <si>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</si>
  <si>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</si>
  <si>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</si>
  <si>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</si>
  <si>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</si>
  <si>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</si>
  <si>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</si>
  <si>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</si>
  <si>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</si>
  <si>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</si>
  <si>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</si>
  <si>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</si>
  <si>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</si>
  <si>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</si>
  <si>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</si>
  <si>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</si>
  <si>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</si>
  <si>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</si>
  <si>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</si>
  <si>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</si>
  <si>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</si>
  <si>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</si>
  <si>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</si>
  <si>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</si>
  <si>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</si>
  <si>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</si>
  <si>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</si>
  <si>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</si>
  <si>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</si>
  <si>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</si>
  <si>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</si>
  <si>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</si>
  <si>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</si>
  <si>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</si>
  <si>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</si>
  <si>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</si>
  <si>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</si>
  <si>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</si>
  <si>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</si>
  <si>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</si>
  <si>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</si>
  <si>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</si>
  <si>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</si>
  <si>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</si>
  <si>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</si>
  <si>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</si>
  <si>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</si>
  <si>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</si>
  <si>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</si>
  <si>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</si>
  <si>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</si>
  <si>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</si>
  <si>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</si>
  <si>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</si>
  <si>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</si>
  <si>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</si>
  <si>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</si>
  <si>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</si>
  <si>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</si>
  <si>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</si>
  <si>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</si>
  <si>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</si>
  <si>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</si>
  <si>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</si>
  <si>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</si>
  <si>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</si>
  <si>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</si>
  <si>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</si>
  <si>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</si>
  <si>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</si>
  <si>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</si>
  <si>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</si>
  <si>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</si>
  <si>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</si>
  <si>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</si>
  <si>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</si>
  <si>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</si>
  <si>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</si>
  <si>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</si>
  <si>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</si>
  <si>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</si>
  <si>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</si>
  <si>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</si>
  <si>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</si>
  <si>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</si>
  <si>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</si>
  <si>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</si>
  <si>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</si>
  <si>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</si>
  <si>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</si>
  <si>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</si>
  <si>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</si>
  <si>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</si>
  <si>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</si>
  <si>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</si>
  <si>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</si>
  <si>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</si>
  <si>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</si>
  <si>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</si>
  <si>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</si>
  <si>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</si>
  <si>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</si>
  <si>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</si>
  <si>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</si>
  <si>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</si>
  <si>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</si>
  <si>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</si>
  <si>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</si>
  <si>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</si>
  <si>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</si>
  <si>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</si>
  <si>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</si>
  <si>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</si>
  <si>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</si>
  <si>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</si>
  <si>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</si>
  <si>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</si>
  <si>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</si>
  <si>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</si>
  <si>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</si>
  <si>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</si>
  <si>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</si>
  <si>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</si>
  <si>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</si>
  <si>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</si>
  <si>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</si>
  <si>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</si>
  <si>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</si>
  <si>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</si>
  <si>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</si>
  <si>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</si>
  <si>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</si>
  <si>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</si>
  <si>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</si>
  <si>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</si>
  <si>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</si>
  <si>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</si>
  <si>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</si>
  <si>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</si>
  <si>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</si>
  <si>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</si>
  <si>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</si>
  <si>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</si>
  <si>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</si>
  <si>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</si>
  <si>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</si>
  <si>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</si>
  <si>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</si>
  <si>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</si>
  <si>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</si>
  <si>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</si>
  <si>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</si>
  <si>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</si>
  <si>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</si>
  <si>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</si>
  <si>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</si>
  <si>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</si>
  <si>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</si>
  <si>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</si>
  <si>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</si>
  <si>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</si>
  <si>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</si>
  <si>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</si>
  <si>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</si>
  <si>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</si>
  <si>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</si>
  <si>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</si>
  <si>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</si>
  <si>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</si>
  <si>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</si>
  <si>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</si>
  <si>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</si>
  <si>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</si>
  <si>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</si>
  <si>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</si>
  <si>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</si>
  <si>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</si>
  <si>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</si>
  <si>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</si>
  <si>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</si>
  <si>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</si>
  <si>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</si>
  <si>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</si>
  <si>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</si>
  <si>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</si>
  <si>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</si>
  <si>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</si>
  <si>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</si>
  <si>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</si>
  <si>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</si>
  <si>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</si>
  <si>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</si>
  <si>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</si>
  <si>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</si>
  <si>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</si>
  <si>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</si>
  <si>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</si>
  <si>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</si>
  <si>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</si>
  <si>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</si>
  <si>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</si>
  <si>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</si>
  <si>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</si>
  <si>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</si>
  <si>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</si>
  <si>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</si>
  <si>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</si>
  <si>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</si>
  <si>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</si>
  <si>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</si>
  <si>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</si>
  <si>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</si>
  <si>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</si>
  <si>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</si>
  <si>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</si>
  <si>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</si>
  <si>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</si>
  <si>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</si>
  <si>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</si>
  <si>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</si>
  <si>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</si>
  <si>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</si>
  <si>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</si>
  <si>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</si>
  <si>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</si>
  <si>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</si>
  <si>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</si>
  <si>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</si>
  <si>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</si>
  <si>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</si>
  <si>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</si>
  <si>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</si>
  <si>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</si>
  <si>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</si>
  <si>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</si>
  <si>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</si>
  <si>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</si>
  <si>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</si>
  <si>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</si>
  <si>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</si>
  <si>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</si>
  <si>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</si>
  <si>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</si>
  <si>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</si>
  <si>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</si>
  <si>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</si>
  <si>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</si>
  <si>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</si>
  <si>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</si>
  <si>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</si>
  <si>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</si>
  <si>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</si>
  <si>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</si>
  <si>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</si>
  <si>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</si>
  <si>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</si>
  <si>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</si>
  <si>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</si>
  <si>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</si>
  <si>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</si>
  <si>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</si>
  <si>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</si>
  <si>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</si>
  <si>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</si>
  <si>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</si>
  <si>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</si>
  <si>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</si>
  <si>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</si>
  <si>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</si>
  <si>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</si>
  <si>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</si>
  <si>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</si>
  <si>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</si>
  <si>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</si>
  <si>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</si>
  <si>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</si>
  <si>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</si>
  <si>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</si>
  <si>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</si>
  <si>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</si>
  <si>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</si>
  <si>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</si>
  <si>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</si>
  <si>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</si>
  <si>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</si>
  <si>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</si>
  <si>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</si>
  <si>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</si>
  <si>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</si>
  <si>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</si>
  <si>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</si>
  <si>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</si>
  <si>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</si>
  <si>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</si>
  <si>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</si>
  <si>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</si>
  <si>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</si>
  <si>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</si>
  <si>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</si>
  <si>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</si>
  <si>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</si>
  <si>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</si>
  <si>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</si>
  <si>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</si>
  <si>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</si>
  <si>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</si>
  <si>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</si>
  <si>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</si>
  <si>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</si>
  <si>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</si>
  <si>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</si>
  <si>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</si>
  <si>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</si>
  <si>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</si>
  <si>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</si>
  <si>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</si>
  <si>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</si>
  <si>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</si>
  <si>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</si>
  <si>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</si>
  <si>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</si>
  <si>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</si>
  <si>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</si>
  <si>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</si>
  <si>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</si>
  <si>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</si>
  <si>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</si>
  <si>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</si>
  <si>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</si>
  <si>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</si>
  <si>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</si>
  <si>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</si>
  <si>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</si>
  <si>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</si>
  <si>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</si>
  <si>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</si>
  <si>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</si>
  <si>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</si>
  <si>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</si>
  <si>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</si>
  <si>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</si>
  <si>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</si>
  <si>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</si>
  <si>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</si>
  <si>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</si>
  <si>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</si>
  <si>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</si>
  <si>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</si>
  <si>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</si>
  <si>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</si>
  <si>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</si>
  <si>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</si>
  <si>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</si>
  <si>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</si>
  <si>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</si>
  <si>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</si>
  <si>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</si>
  <si>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</si>
  <si>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</si>
  <si>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</si>
  <si>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</si>
  <si>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</si>
  <si>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</si>
  <si>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</si>
  <si>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</si>
  <si>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</si>
  <si>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</si>
  <si>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</si>
  <si>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</si>
  <si>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</si>
  <si>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</si>
  <si>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</si>
  <si>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</si>
  <si>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</si>
  <si>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</si>
  <si>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</si>
  <si>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</si>
  <si>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</si>
  <si>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</si>
  <si>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</si>
  <si>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</si>
  <si>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</si>
  <si>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</si>
  <si>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</si>
  <si>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</si>
  <si>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</si>
  <si>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</si>
  <si>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</si>
  <si>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</si>
  <si>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</si>
  <si>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</si>
  <si>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</si>
  <si>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</si>
  <si>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</si>
  <si>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</si>
  <si>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</si>
  <si>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</si>
  <si>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</si>
  <si>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</si>
  <si>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</si>
  <si>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</si>
  <si>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</si>
  <si>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</si>
  <si>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</si>
  <si>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</si>
  <si>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</si>
  <si>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</si>
  <si>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</si>
  <si>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</si>
  <si>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</si>
  <si>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</si>
  <si>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</si>
  <si>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</si>
  <si>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</si>
  <si>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</si>
  <si>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</si>
  <si>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</si>
  <si>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</si>
  <si>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</si>
  <si>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</si>
  <si>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</si>
  <si>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</si>
  <si>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</si>
  <si>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</si>
  <si>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</si>
  <si>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</si>
  <si>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</si>
  <si>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</si>
  <si>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</si>
  <si>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</si>
  <si>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</si>
  <si>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</si>
  <si>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</si>
  <si>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</si>
  <si>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</si>
  <si>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</si>
  <si>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</si>
  <si>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</si>
  <si>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</si>
  <si>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</si>
  <si>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</si>
  <si>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</si>
  <si>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</si>
  <si>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</si>
  <si>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</si>
  <si>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</si>
  <si>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</si>
  <si>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</si>
  <si>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</si>
  <si>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</si>
  <si>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</si>
  <si>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</si>
  <si>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</si>
  <si>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</si>
  <si>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</si>
  <si>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</si>
  <si>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</si>
  <si>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</si>
  <si>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</si>
  <si>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</si>
  <si>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</si>
  <si>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</si>
  <si>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</si>
  <si>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</si>
  <si>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</si>
  <si>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</si>
  <si>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</si>
  <si>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</si>
  <si>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</si>
  <si>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</si>
  <si>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</si>
  <si>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</si>
  <si>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</si>
  <si>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</si>
  <si>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</si>
  <si>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</si>
  <si>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</si>
  <si>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</si>
  <si>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</si>
  <si>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</si>
  <si>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</si>
  <si>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</si>
  <si>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</si>
  <si>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</si>
  <si>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</si>
  <si>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</si>
  <si>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</si>
  <si>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</si>
  <si>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</si>
  <si>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</si>
  <si>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</si>
  <si>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</si>
  <si>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</si>
  <si>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</si>
  <si>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</si>
  <si>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</si>
  <si>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</si>
  <si>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</si>
  <si>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</si>
  <si>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</si>
  <si>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</si>
  <si>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</si>
  <si>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</si>
  <si>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</si>
  <si>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</si>
  <si>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</si>
  <si>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</si>
  <si>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</si>
  <si>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</si>
  <si>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</si>
  <si>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</si>
  <si>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</si>
  <si>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</si>
  <si>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</si>
  <si>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</si>
  <si>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</si>
  <si>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</si>
  <si>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</si>
  <si>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</si>
  <si>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</si>
  <si>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</si>
  <si>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</si>
  <si>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</si>
  <si>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</si>
  <si>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</si>
  <si>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</si>
  <si>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</si>
  <si>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</si>
  <si>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</si>
  <si>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</si>
  <si>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</si>
  <si>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</si>
  <si>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</si>
  <si>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</si>
  <si>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</si>
  <si>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</si>
  <si>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</si>
  <si>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</si>
  <si>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</si>
  <si>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</si>
  <si>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</si>
  <si>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</si>
  <si>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</si>
  <si>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</si>
  <si>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</si>
  <si>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</si>
  <si>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</si>
  <si>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</si>
  <si>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</si>
  <si>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</si>
  <si>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</si>
  <si>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</si>
  <si>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</si>
  <si>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</si>
  <si>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</si>
  <si>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</si>
  <si>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</si>
  <si>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</si>
  <si>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</si>
  <si>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</si>
  <si>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</si>
  <si>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</si>
  <si>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</si>
  <si>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</si>
  <si>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</si>
  <si>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</si>
  <si>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</si>
  <si>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</si>
  <si>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</si>
  <si>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</si>
  <si>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</si>
  <si>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</si>
  <si>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</si>
  <si>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</si>
  <si>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</si>
  <si>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</si>
  <si>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</si>
  <si>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</si>
  <si>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</si>
  <si>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</si>
  <si>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</si>
  <si>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</si>
  <si>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</si>
  <si>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</si>
  <si>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</si>
  <si>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</si>
  <si>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</si>
  <si>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</si>
  <si>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</si>
  <si>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</si>
  <si>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</si>
  <si>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</si>
  <si>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</si>
  <si>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</si>
  <si>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</si>
  <si>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</si>
  <si>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</si>
  <si>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</si>
  <si>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</si>
  <si>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</si>
  <si>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</si>
  <si>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</si>
  <si>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</si>
  <si>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</si>
  <si>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</si>
  <si>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</si>
  <si>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</si>
  <si>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</si>
  <si>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</si>
  <si>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</si>
  <si>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</si>
  <si>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</si>
  <si>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</si>
  <si>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</si>
  <si>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</si>
  <si>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</si>
  <si>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</si>
  <si>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</si>
  <si>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</si>
  <si>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</si>
  <si>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</si>
  <si>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</si>
  <si>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</si>
  <si>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</si>
  <si>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</si>
  <si>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</si>
  <si>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</si>
  <si>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</si>
  <si>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</si>
  <si>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</si>
  <si>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</si>
  <si>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</si>
  <si>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</si>
  <si>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</si>
  <si>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</si>
  <si>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</si>
  <si>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</si>
  <si>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</si>
  <si>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</si>
  <si>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</si>
  <si>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</si>
  <si>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</si>
  <si>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</si>
  <si>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</si>
  <si>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</si>
  <si>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</si>
  <si>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</si>
  <si>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</si>
  <si>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</si>
  <si>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</si>
  <si>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</si>
  <si>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</si>
  <si>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</si>
  <si>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</si>
  <si>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</si>
  <si>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</si>
  <si>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</si>
  <si>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</si>
  <si>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</si>
  <si>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</si>
  <si>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</si>
  <si>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</si>
  <si>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</si>
  <si>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</si>
  <si>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</si>
  <si>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</si>
  <si>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</si>
  <si>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</si>
  <si>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</si>
  <si>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</si>
  <si>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</si>
  <si>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</si>
  <si>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</si>
  <si>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</si>
  <si>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</si>
  <si>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</si>
  <si>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</si>
  <si>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</si>
  <si>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</si>
  <si>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</si>
  <si>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</si>
  <si>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</si>
  <si>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</si>
  <si>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</si>
  <si>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</si>
  <si>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</si>
  <si>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</si>
  <si>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</si>
  <si>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</si>
  <si>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</si>
  <si>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</si>
  <si>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</si>
  <si>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</si>
  <si>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</si>
  <si>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</si>
  <si>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</si>
  <si>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</si>
  <si>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</si>
  <si>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</si>
  <si>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</si>
  <si>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</si>
  <si>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</si>
  <si>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</si>
  <si>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</si>
  <si>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</si>
  <si>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</si>
  <si>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</si>
  <si>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</si>
  <si>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</si>
  <si>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</si>
  <si>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</si>
  <si>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</si>
  <si>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</si>
  <si>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</si>
  <si>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</si>
  <si>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</si>
  <si>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</si>
  <si>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</si>
  <si>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</si>
  <si>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</si>
  <si>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</si>
  <si>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</si>
  <si>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</si>
  <si>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</si>
  <si>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</si>
  <si>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</si>
  <si>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</si>
  <si>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</si>
  <si>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</si>
  <si>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</si>
  <si>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</si>
  <si>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</si>
  <si>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</si>
  <si>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</si>
  <si>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</si>
  <si>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</si>
  <si>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</si>
  <si>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</si>
  <si>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</si>
  <si>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</si>
  <si>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</si>
  <si>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</si>
  <si>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</si>
  <si>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</si>
  <si>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</si>
  <si>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</si>
  <si>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</si>
  <si>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</si>
  <si>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</si>
  <si>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</si>
  <si>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</si>
  <si>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</si>
  <si>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</si>
  <si>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</si>
  <si>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</si>
  <si>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</si>
  <si>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</si>
  <si>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</si>
  <si>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</si>
  <si>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</si>
  <si>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</si>
  <si>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</si>
  <si>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</si>
  <si>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</si>
  <si>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</si>
  <si>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</si>
  <si>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</si>
  <si>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</si>
  <si>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</si>
  <si>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</si>
  <si>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</si>
  <si>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</si>
  <si>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</si>
  <si>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</si>
  <si>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</si>
  <si>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</si>
  <si>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</si>
  <si>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</si>
  <si>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</si>
  <si>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</si>
  <si>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</si>
  <si>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</si>
  <si>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</si>
  <si>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</si>
  <si>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</si>
  <si>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</si>
  <si>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</si>
  <si>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</si>
  <si>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</si>
  <si>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</si>
  <si>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</si>
  <si>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</si>
  <si>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</si>
  <si>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</si>
  <si>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</si>
  <si>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</si>
  <si>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</si>
  <si>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</si>
  <si>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</si>
  <si>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</si>
  <si>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</si>
  <si>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</si>
  <si>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</si>
  <si>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</si>
  <si>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</si>
  <si>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</si>
  <si>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</si>
  <si>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</si>
  <si>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</si>
  <si>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</si>
  <si>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</si>
  <si>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</si>
  <si>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</si>
  <si>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</si>
  <si>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</si>
  <si>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</si>
  <si>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</si>
  <si>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</si>
  <si>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</si>
  <si>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</si>
  <si>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</si>
  <si>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</si>
  <si>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</si>
  <si>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</si>
  <si>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</si>
  <si>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</si>
  <si>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</si>
  <si>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</si>
  <si>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</si>
  <si>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</si>
  <si>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</si>
  <si>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</si>
  <si>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</si>
  <si>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</si>
  <si>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</si>
  <si>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</si>
  <si>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</si>
  <si>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</si>
  <si>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</si>
  <si>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</si>
  <si>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</si>
  <si>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</si>
  <si>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</si>
  <si>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</si>
  <si>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</si>
  <si>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</si>
  <si>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</si>
  <si>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</si>
  <si>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</si>
  <si>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</si>
  <si>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</si>
  <si>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</si>
  <si>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</si>
  <si>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</si>
  <si>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</si>
  <si>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</si>
  <si>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</si>
  <si>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</si>
  <si>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</si>
  <si>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</si>
  <si>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</si>
  <si>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</si>
  <si>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</si>
  <si>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</si>
  <si>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</si>
  <si>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</si>
  <si>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</si>
  <si>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</si>
  <si>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</si>
  <si>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</si>
  <si>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</si>
  <si>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</si>
  <si>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</si>
  <si>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</si>
  <si>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</si>
  <si>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</si>
  <si>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</si>
  <si>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</si>
  <si>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</si>
  <si>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</si>
  <si>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</si>
  <si>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</si>
  <si>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</si>
  <si>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</si>
  <si>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</si>
  <si>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</si>
  <si>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</si>
  <si>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</si>
  <si>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</si>
  <si>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</si>
  <si>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</si>
  <si>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</si>
  <si>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</si>
  <si>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</si>
  <si>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</si>
  <si>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</si>
  <si>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</si>
  <si>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</si>
  <si>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</si>
  <si>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</si>
  <si>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</si>
  <si>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</si>
  <si>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</si>
  <si>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</si>
  <si>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</si>
  <si>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</si>
  <si>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</si>
  <si>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</si>
  <si>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</si>
  <si>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</si>
  <si>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</si>
  <si>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</si>
  <si>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</si>
  <si>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</si>
  <si>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</si>
  <si>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</si>
  <si>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</si>
  <si>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</si>
  <si>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</si>
  <si>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</si>
  <si>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</si>
  <si>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</si>
  <si>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</si>
  <si>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</si>
  <si>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</si>
  <si>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</si>
  <si>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</si>
  <si>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</si>
  <si>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</si>
  <si>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</si>
  <si>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</si>
  <si>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</si>
  <si>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</si>
  <si>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</si>
  <si>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</si>
  <si>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</si>
  <si>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</si>
  <si>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</si>
  <si>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</si>
  <si>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</si>
  <si>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</si>
  <si>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</si>
  <si>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</si>
  <si>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</si>
  <si>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</si>
  <si>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</si>
  <si>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</si>
  <si>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</si>
  <si>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</si>
  <si>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</si>
  <si>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</si>
  <si>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</si>
  <si>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</si>
  <si>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</si>
  <si>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</si>
  <si>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</si>
  <si>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</si>
  <si>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</si>
  <si>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</si>
  <si>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</si>
  <si>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</si>
  <si>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</si>
  <si>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</si>
  <si>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</si>
  <si>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</si>
  <si>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</si>
  <si>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</si>
  <si>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</si>
  <si>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</si>
  <si>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</si>
  <si>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</si>
  <si>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</si>
  <si>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</si>
  <si>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</si>
  <si>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</si>
  <si>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</si>
  <si>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</si>
  <si>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</si>
  <si>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</si>
  <si>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</si>
  <si>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</si>
  <si>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</si>
  <si>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</si>
  <si>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</si>
  <si>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</si>
  <si>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</si>
  <si>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</si>
  <si>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</si>
  <si>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</si>
  <si>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</si>
  <si>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</si>
  <si>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</si>
  <si>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</si>
  <si>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</si>
  <si>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</si>
  <si>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</si>
  <si>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</si>
  <si>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</si>
  <si>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</si>
  <si>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</si>
  <si>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</si>
  <si>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</si>
  <si>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</si>
  <si>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</si>
  <si>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</si>
  <si>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</si>
  <si>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</si>
  <si>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</si>
  <si>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</si>
  <si>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</si>
  <si>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</si>
  <si>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</si>
  <si>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</si>
  <si>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</si>
  <si>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</si>
  <si>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</si>
  <si>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</si>
  <si>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</si>
  <si>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</si>
  <si>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</si>
  <si>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</si>
  <si>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</si>
  <si>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</si>
  <si>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</si>
  <si>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</si>
  <si>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</si>
  <si>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</si>
  <si>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</si>
  <si>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</si>
  <si>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</si>
  <si>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</si>
  <si>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</si>
  <si>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</si>
  <si>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</si>
  <si>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</si>
  <si>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</si>
  <si>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</si>
  <si>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</si>
  <si>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</si>
  <si>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</si>
  <si>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</si>
  <si>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</si>
  <si>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</si>
  <si>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</si>
  <si>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</si>
  <si>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</si>
  <si>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</si>
  <si>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</si>
  <si>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</si>
  <si>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</si>
  <si>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</si>
  <si>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</si>
  <si>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</si>
  <si>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</si>
  <si>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</si>
  <si>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</si>
  <si>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</si>
  <si>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</si>
  <si>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</si>
  <si>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</si>
  <si>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</si>
  <si>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</si>
  <si>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</si>
  <si>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</si>
  <si>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</si>
  <si>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</si>
  <si>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</si>
  <si>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</si>
  <si>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</si>
  <si>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</si>
  <si>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</si>
  <si>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</si>
  <si>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</si>
  <si>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</si>
  <si>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</si>
  <si>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</si>
  <si>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</si>
  <si>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</si>
  <si>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</si>
  <si>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</si>
  <si>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</si>
  <si>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</si>
  <si>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</si>
  <si>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</si>
  <si>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</si>
  <si>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</si>
  <si>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</si>
  <si>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</si>
  <si>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</si>
  <si>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</si>
  <si>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</si>
  <si>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</si>
  <si>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</si>
  <si>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</si>
  <si>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</si>
  <si>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</si>
  <si>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</si>
  <si>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</si>
  <si>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</si>
  <si>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</si>
  <si>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</si>
  <si>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</si>
  <si>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</si>
  <si>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</si>
  <si>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</si>
  <si>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</si>
  <si>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</si>
  <si>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</si>
  <si>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</si>
  <si>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</si>
  <si>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</si>
  <si>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</si>
  <si>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</si>
  <si>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</si>
  <si>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</si>
  <si>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</si>
  <si>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</si>
  <si>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</si>
  <si>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</si>
  <si>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</si>
  <si>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</si>
  <si>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</si>
  <si>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</si>
  <si>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</si>
  <si>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</si>
  <si>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</si>
  <si>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</si>
  <si>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</si>
  <si>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</si>
  <si>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</si>
  <si>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</si>
  <si>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</si>
  <si>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</si>
  <si>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</si>
  <si>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</si>
  <si>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</si>
  <si>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</si>
  <si>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</si>
  <si>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</si>
  <si>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</si>
  <si>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</si>
  <si>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</si>
  <si>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</si>
  <si>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</si>
  <si>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</si>
  <si>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</si>
  <si>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</si>
  <si>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</si>
  <si>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</si>
  <si>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</si>
  <si>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</si>
  <si>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</si>
  <si>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</si>
  <si>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</si>
  <si>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</si>
  <si>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</si>
  <si>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</si>
  <si>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</si>
  <si>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</si>
  <si>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</si>
  <si>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</si>
  <si>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</si>
  <si>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</si>
  <si>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</si>
  <si>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</si>
  <si>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</si>
  <si>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</si>
  <si>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</si>
  <si>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</si>
  <si>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</si>
  <si>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</si>
  <si>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</si>
  <si>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</si>
  <si>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</si>
  <si>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</si>
  <si>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</si>
  <si>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</si>
  <si>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</si>
  <si>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</si>
  <si>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</si>
  <si>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</si>
  <si>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</si>
  <si>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</si>
  <si>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</si>
  <si>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</si>
  <si>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</si>
  <si>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</si>
  <si>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</si>
  <si>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</si>
  <si>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</si>
  <si>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</si>
  <si>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</si>
  <si>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</si>
  <si>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</si>
  <si>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</si>
  <si>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</si>
  <si>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</si>
  <si>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</si>
  <si>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</si>
  <si>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</si>
  <si>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</si>
  <si>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</si>
  <si>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</si>
  <si>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</si>
  <si>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</si>
  <si>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</si>
  <si>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</si>
  <si>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</si>
  <si>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</si>
  <si>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</si>
  <si>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</si>
  <si>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</si>
  <si>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</si>
  <si>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</si>
  <si>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</si>
  <si>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</si>
  <si>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</si>
  <si>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</si>
  <si>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</si>
  <si>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</si>
  <si>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</si>
  <si>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</si>
  <si>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</si>
  <si>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</si>
  <si>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</si>
  <si>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</si>
  <si>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</si>
  <si>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</si>
  <si>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</si>
  <si>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</si>
  <si>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</si>
  <si>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</si>
  <si>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</si>
  <si>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</si>
  <si>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</si>
  <si>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</si>
  <si>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</si>
  <si>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</si>
  <si>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</si>
  <si>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</si>
  <si>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</si>
  <si>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</si>
  <si>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</si>
  <si>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</si>
  <si>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</si>
  <si>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</si>
  <si>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</si>
  <si>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</si>
  <si>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</si>
  <si>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</si>
  <si>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</si>
  <si>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</si>
  <si>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</si>
  <si>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</si>
  <si>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</si>
  <si>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</si>
  <si>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</si>
  <si>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</si>
  <si>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</si>
  <si>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</si>
  <si>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</si>
  <si>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</si>
  <si>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</si>
  <si>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</si>
  <si>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</si>
  <si>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</si>
  <si>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</si>
  <si>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</si>
  <si>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</si>
  <si>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</si>
  <si>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</si>
  <si>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</si>
  <si>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</si>
  <si>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</si>
  <si>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</si>
  <si>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</si>
  <si>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</si>
  <si>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</si>
  <si>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</si>
  <si>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</si>
  <si>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</si>
  <si>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</si>
  <si>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</si>
  <si>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</si>
  <si>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</si>
  <si>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</si>
  <si>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</si>
  <si>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</si>
  <si>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</si>
  <si>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</si>
  <si>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</si>
  <si>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</si>
  <si>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</si>
  <si>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</si>
  <si>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</si>
  <si>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</si>
  <si>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</si>
  <si>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</si>
  <si>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</si>
  <si>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</si>
  <si>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</si>
  <si>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</si>
  <si>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</si>
  <si>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</si>
  <si>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</si>
  <si>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</si>
  <si>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</si>
  <si>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</si>
  <si>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</si>
  <si>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</si>
  <si>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</si>
  <si>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</si>
  <si>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</si>
  <si>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</si>
  <si>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</si>
  <si>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</si>
  <si>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</si>
  <si>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</si>
  <si>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</si>
  <si>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</si>
  <si>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</si>
  <si>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</si>
  <si>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</si>
  <si>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</si>
  <si>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</si>
  <si>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</si>
  <si>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</si>
  <si>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</si>
  <si>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</si>
  <si>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</si>
  <si>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</si>
  <si>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</si>
  <si>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</si>
  <si>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</si>
  <si>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</si>
  <si>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</si>
  <si>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</si>
  <si>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</si>
  <si>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</si>
  <si>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</si>
  <si>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</si>
  <si>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</si>
  <si>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</si>
  <si>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</si>
  <si>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</si>
  <si>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</si>
  <si>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</si>
  <si>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</si>
  <si>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</si>
  <si>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</si>
  <si>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</si>
  <si>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</si>
  <si>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</si>
  <si>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</si>
  <si>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</si>
  <si>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</si>
  <si>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</si>
  <si>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</si>
  <si>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</si>
  <si>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</si>
  <si>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</si>
  <si>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</si>
  <si>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</si>
  <si>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</si>
  <si>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</si>
  <si>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</si>
  <si>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</si>
  <si>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</si>
  <si>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</si>
  <si>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</si>
  <si>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</si>
  <si>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</si>
  <si>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</si>
  <si>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</si>
  <si>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</si>
  <si>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</si>
  <si>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</si>
  <si>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</si>
  <si>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</si>
  <si>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</si>
  <si>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</si>
  <si>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</si>
  <si>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</si>
  <si>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</si>
  <si>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</si>
  <si>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</si>
  <si>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</si>
  <si>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</si>
  <si>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</si>
  <si>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</si>
  <si>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</si>
  <si>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</si>
  <si>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</si>
  <si>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</si>
  <si>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</si>
  <si>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</si>
  <si>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</si>
  <si>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</si>
  <si>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</si>
  <si>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</si>
  <si>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</si>
  <si>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</si>
  <si>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</si>
  <si>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</si>
  <si>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</si>
  <si>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</si>
  <si>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</si>
  <si>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</si>
  <si>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</si>
  <si>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</si>
  <si>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</si>
  <si>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</si>
  <si>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</si>
  <si>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</si>
  <si>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</si>
  <si>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</si>
  <si>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</si>
  <si>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</si>
  <si>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</si>
  <si>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</si>
  <si>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</si>
  <si>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</si>
  <si>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</si>
  <si>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</si>
  <si>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</si>
  <si>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</si>
  <si>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</si>
  <si>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</si>
  <si>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</si>
  <si>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</si>
  <si>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</si>
  <si>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</si>
  <si>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</si>
  <si>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</si>
  <si>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</si>
  <si>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</si>
  <si>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</si>
  <si>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</si>
  <si>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</si>
  <si>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</si>
  <si>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</si>
  <si>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</si>
  <si>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</si>
  <si>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</si>
  <si>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</si>
  <si>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</si>
  <si>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</si>
  <si>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</si>
  <si>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</si>
  <si>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</si>
  <si>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</si>
  <si>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</si>
  <si>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</si>
  <si>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</si>
  <si>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</si>
  <si>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</si>
  <si>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</si>
  <si>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</si>
  <si>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</si>
  <si>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</si>
  <si>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</si>
  <si>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</si>
  <si>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</si>
  <si>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</si>
  <si>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</si>
  <si>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</si>
  <si>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</si>
  <si>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</si>
  <si>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</si>
  <si>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</si>
  <si>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</si>
  <si>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</si>
  <si>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</si>
  <si>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</si>
  <si>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</si>
  <si>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</si>
  <si>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</si>
  <si>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</si>
  <si>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</si>
  <si>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</si>
  <si>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</si>
  <si>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</si>
  <si>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</si>
  <si>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</si>
  <si>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</si>
  <si>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</si>
  <si>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</si>
  <si>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</si>
  <si>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</si>
  <si>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</si>
  <si>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</si>
  <si>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</si>
  <si>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</si>
  <si>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</si>
  <si>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</si>
  <si>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</si>
  <si>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</si>
  <si>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</si>
  <si>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</si>
  <si>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</si>
  <si>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</si>
  <si>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</si>
  <si>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</si>
  <si>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</si>
  <si>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</si>
  <si>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</si>
  <si>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</si>
  <si>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</si>
  <si>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</si>
  <si>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</si>
  <si>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</si>
  <si>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</si>
  <si>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</si>
  <si>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</si>
  <si>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</si>
  <si>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</si>
  <si>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</si>
  <si>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</si>
  <si>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</si>
  <si>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</si>
  <si>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</si>
  <si>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</si>
  <si>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</si>
  <si>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</si>
  <si>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</si>
  <si>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</si>
  <si>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</si>
  <si>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</si>
  <si>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</si>
  <si>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</si>
  <si>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</si>
  <si>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</si>
  <si>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</si>
  <si>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</si>
  <si>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</si>
  <si>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</si>
  <si>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</si>
  <si>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</si>
  <si>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</si>
  <si>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</si>
  <si>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</si>
  <si>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</si>
  <si>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</si>
  <si>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</si>
  <si>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</si>
  <si>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</si>
  <si>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</si>
  <si>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</si>
  <si>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</si>
  <si>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</si>
  <si>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</si>
  <si>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</si>
  <si>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</si>
  <si>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</si>
  <si>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</si>
  <si>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</si>
  <si>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</si>
  <si>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</si>
  <si>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</si>
  <si>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</si>
  <si>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</si>
  <si>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</si>
  <si>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</si>
  <si>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</si>
  <si>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</si>
  <si>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</si>
  <si>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</si>
  <si>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</si>
  <si>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</si>
  <si>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</si>
  <si>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</si>
  <si>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</si>
  <si>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</si>
  <si>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</si>
  <si>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</si>
  <si>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</si>
  <si>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</si>
  <si>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</si>
  <si>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</si>
  <si>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</si>
  <si>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</si>
  <si>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</si>
  <si>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</si>
  <si>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</si>
  <si>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</si>
  <si>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</si>
  <si>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</si>
  <si>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</si>
  <si>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</si>
  <si>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</si>
  <si>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</si>
  <si>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</si>
  <si>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</si>
  <si>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</si>
  <si>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</si>
  <si>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</si>
  <si>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</si>
  <si>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</si>
  <si>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</si>
  <si>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</si>
  <si>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</si>
  <si>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</si>
  <si>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</si>
  <si>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</si>
  <si>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</si>
  <si>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</si>
  <si>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</si>
  <si>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</si>
  <si>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</si>
  <si>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</si>
  <si>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</si>
  <si>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</si>
  <si>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</si>
  <si>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</si>
  <si>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</si>
  <si>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</si>
  <si>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</si>
  <si>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</si>
  <si>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</si>
  <si>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</si>
  <si>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</si>
  <si>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</si>
  <si>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</si>
  <si>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</si>
  <si>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</si>
  <si>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</si>
  <si>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</si>
  <si>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</si>
  <si>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</si>
  <si>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</si>
  <si>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</si>
  <si>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</si>
  <si>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</si>
  <si>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</si>
  <si>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</si>
  <si>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</si>
  <si>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</si>
  <si>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</si>
  <si>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</si>
  <si>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</si>
  <si>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</si>
  <si>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</si>
  <si>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</si>
  <si>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</si>
  <si>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</si>
  <si>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</si>
  <si>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</si>
  <si>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</si>
  <si>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</si>
  <si>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</si>
  <si>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</si>
  <si>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</si>
  <si>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</si>
  <si>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</si>
  <si>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</si>
  <si>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</si>
  <si>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</si>
  <si>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</si>
  <si>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</si>
  <si>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</si>
  <si>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</si>
  <si>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</si>
  <si>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</si>
  <si>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</si>
  <si>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</si>
  <si>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</si>
  <si>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</si>
  <si>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</si>
  <si>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</si>
  <si>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</si>
  <si>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</si>
  <si>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</si>
  <si>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</si>
  <si>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</si>
  <si>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</si>
  <si>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</si>
  <si>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</si>
  <si>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</si>
  <si>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</si>
  <si>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</si>
  <si>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</si>
  <si>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</si>
  <si>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</si>
  <si>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</si>
  <si>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</si>
  <si>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</si>
  <si>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</si>
  <si>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</si>
  <si>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</si>
  <si>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</si>
  <si>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</si>
  <si>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</si>
  <si>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</si>
  <si>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</si>
  <si>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</si>
  <si>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</si>
  <si>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</si>
  <si>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</si>
  <si>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</si>
  <si>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</si>
  <si>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</si>
  <si>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</si>
  <si>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</si>
  <si>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</si>
  <si>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</si>
  <si>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</si>
  <si>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</si>
  <si>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</si>
  <si>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</si>
  <si>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</si>
  <si>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</si>
  <si>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</si>
  <si>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</si>
  <si>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</si>
  <si>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</si>
  <si>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</si>
  <si>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</si>
  <si>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</si>
  <si>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</si>
  <si>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</si>
  <si>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</si>
  <si>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</si>
  <si>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</si>
  <si>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</si>
  <si>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</si>
  <si>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</si>
  <si>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</si>
  <si>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</si>
  <si>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</si>
  <si>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</si>
  <si>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</si>
  <si>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</si>
  <si>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</si>
  <si>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</si>
  <si>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</si>
  <si>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</si>
  <si>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</si>
  <si>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</si>
  <si>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</si>
  <si>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</si>
  <si>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</si>
  <si>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</si>
  <si>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</si>
  <si>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</si>
  <si>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</si>
  <si>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</si>
  <si>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</si>
  <si>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</si>
  <si>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</si>
  <si>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</si>
  <si>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</si>
  <si>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</si>
  <si>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</si>
  <si>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</si>
  <si>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</si>
  <si>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</si>
  <si>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</si>
  <si>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</si>
  <si>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</si>
  <si>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</si>
  <si>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</si>
  <si>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</si>
  <si>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</si>
  <si>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</si>
  <si>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</si>
  <si>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</si>
  <si>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</si>
  <si>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</si>
  <si>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</si>
  <si>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</si>
  <si>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</si>
  <si>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</si>
  <si>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</si>
  <si>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</si>
  <si>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</si>
  <si>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</si>
  <si>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</si>
  <si>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</si>
  <si>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</si>
  <si>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</si>
  <si>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</si>
  <si>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</si>
  <si>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</si>
  <si>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</si>
  <si>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</si>
  <si>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</si>
  <si>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</si>
  <si>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</si>
  <si>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</si>
  <si>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</si>
  <si>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</si>
  <si>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</si>
  <si>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</si>
  <si>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</si>
  <si>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</si>
  <si>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</si>
  <si>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</si>
  <si>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</si>
  <si>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</si>
  <si>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</si>
  <si>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</si>
  <si>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</si>
  <si>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</si>
  <si>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</si>
  <si>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</si>
  <si>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</si>
  <si>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</si>
  <si>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</si>
  <si>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</si>
  <si>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</si>
  <si>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</si>
  <si>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</si>
  <si>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</si>
  <si>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</si>
  <si>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</si>
  <si>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</si>
  <si>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</si>
  <si>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</si>
  <si>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</si>
  <si>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</si>
  <si>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</si>
  <si>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</si>
  <si>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</si>
  <si>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</si>
  <si>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</si>
  <si>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</si>
  <si>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</si>
  <si>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</si>
  <si>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</si>
  <si>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</si>
  <si>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</si>
  <si>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</si>
  <si>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</si>
  <si>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</si>
  <si>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</si>
  <si>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</si>
  <si>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</si>
  <si>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</si>
  <si>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</si>
  <si>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</si>
  <si>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</si>
  <si>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</si>
  <si>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</si>
  <si>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</si>
  <si>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</si>
  <si>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</si>
  <si>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</si>
  <si>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</si>
  <si>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</si>
  <si>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</si>
  <si>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</si>
  <si>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</si>
  <si>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</si>
  <si>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</si>
  <si>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</si>
  <si>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</si>
  <si>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</si>
  <si>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</si>
  <si>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</si>
  <si>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</si>
  <si>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</si>
  <si>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</si>
  <si>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</si>
  <si>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</si>
  <si>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</si>
  <si>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</si>
  <si>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</si>
  <si>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</si>
  <si>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</si>
  <si>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</si>
  <si>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</si>
  <si>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</si>
  <si>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</si>
  <si>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</si>
  <si>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</si>
  <si>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</si>
  <si>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</si>
  <si>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</si>
  <si>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</si>
  <si>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</si>
  <si>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</si>
  <si>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</si>
  <si>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</si>
  <si>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</si>
  <si>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</si>
  <si>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</si>
  <si>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</si>
  <si>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</si>
  <si>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</si>
  <si>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</si>
  <si>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</si>
  <si>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</si>
  <si>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</si>
  <si>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</si>
  <si>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</si>
  <si>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</si>
  <si>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</si>
  <si>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</si>
  <si>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</si>
  <si>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</si>
  <si>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</si>
  <si>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</si>
  <si>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</si>
  <si>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</si>
  <si>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</si>
  <si>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</si>
  <si>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</si>
  <si>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</si>
  <si>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</si>
  <si>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</si>
  <si>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</si>
  <si>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</si>
  <si>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</si>
  <si>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</si>
  <si>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</si>
  <si>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</si>
  <si>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</si>
  <si>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</si>
  <si>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</si>
  <si>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</si>
  <si>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</si>
  <si>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</si>
  <si>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</si>
  <si>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</si>
  <si>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</si>
  <si>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</si>
  <si>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</si>
  <si>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</si>
  <si>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</si>
  <si>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</si>
  <si>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</si>
  <si>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</si>
  <si>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</si>
  <si>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</si>
  <si>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</si>
  <si>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</si>
  <si>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</si>
  <si>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</si>
  <si>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</si>
  <si>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</si>
  <si>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</si>
  <si>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</si>
  <si>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</si>
  <si>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</si>
  <si>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</si>
  <si>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</si>
  <si>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</si>
  <si>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</si>
  <si>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</si>
  <si>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</si>
  <si>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</si>
  <si>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</si>
  <si>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</si>
  <si>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</si>
  <si>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</si>
  <si>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</si>
  <si>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</si>
  <si>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</si>
  <si>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</si>
  <si>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</si>
  <si>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</si>
  <si>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</si>
  <si>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</si>
  <si>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</si>
  <si>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</si>
  <si>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</si>
  <si>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</si>
  <si>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</si>
  <si>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</si>
  <si>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</si>
  <si>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</si>
  <si>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</si>
  <si>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</si>
  <si>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</si>
  <si>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</si>
  <si>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</si>
  <si>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</si>
  <si>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</si>
  <si>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</si>
  <si>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</si>
  <si>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</si>
  <si>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</si>
  <si>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</si>
  <si>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</si>
  <si>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</si>
  <si>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</si>
  <si>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</si>
  <si>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</si>
  <si>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</si>
  <si>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</si>
  <si>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</si>
  <si>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</si>
  <si>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</si>
  <si>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</si>
  <si>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</si>
  <si>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</si>
  <si>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</si>
  <si>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</si>
  <si>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</si>
  <si>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</si>
  <si>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</si>
  <si>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</si>
  <si>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</si>
  <si>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</si>
  <si>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</si>
  <si>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</si>
  <si>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</si>
  <si>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</si>
  <si>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</si>
  <si>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</si>
  <si>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</si>
  <si>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</si>
  <si>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</si>
  <si>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</si>
  <si>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</si>
  <si>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</si>
  <si>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</si>
  <si>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</si>
  <si>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</si>
  <si>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</si>
  <si>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</si>
  <si>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</si>
  <si>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</si>
  <si>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</si>
  <si>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</si>
  <si>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</si>
  <si>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</si>
  <si>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</si>
  <si>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</si>
  <si>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</si>
  <si>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</si>
  <si>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</si>
  <si>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</si>
  <si>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</si>
  <si>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</si>
  <si>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</si>
  <si>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</si>
  <si>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</si>
  <si>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</si>
  <si>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</si>
  <si>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</si>
  <si>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</si>
  <si>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</si>
  <si>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</si>
  <si>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</si>
  <si>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</si>
  <si>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</si>
  <si>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</si>
  <si>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</si>
  <si>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</si>
  <si>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</si>
  <si>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</si>
  <si>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</si>
  <si>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</si>
  <si>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</si>
  <si>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</si>
  <si>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</si>
  <si>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</si>
  <si>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</si>
  <si>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</si>
  <si>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</si>
  <si>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</si>
  <si>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</si>
  <si>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</si>
  <si>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</si>
  <si>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</si>
  <si>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</si>
  <si>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</si>
  <si>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</si>
  <si>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</si>
  <si>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</si>
  <si>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</si>
  <si>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</si>
  <si>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</si>
  <si>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</si>
  <si>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</si>
  <si>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</si>
  <si>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</si>
  <si>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</si>
  <si>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</si>
  <si>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</si>
  <si>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</si>
  <si>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</si>
  <si>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</si>
  <si>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</si>
  <si>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</si>
  <si>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</si>
  <si>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</si>
  <si>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</si>
  <si>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</si>
  <si>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</si>
  <si>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</si>
  <si>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</si>
  <si>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</si>
  <si>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</si>
  <si>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</si>
  <si>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</si>
  <si>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</si>
  <si>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</si>
  <si>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</si>
  <si>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</si>
  <si>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</si>
  <si>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</si>
  <si>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</si>
  <si>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</si>
  <si>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</si>
  <si>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</si>
  <si>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</si>
  <si>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</si>
  <si>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</si>
  <si>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</si>
  <si>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</si>
  <si>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</si>
  <si>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</si>
  <si>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</si>
  <si>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</si>
  <si>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</si>
  <si>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</si>
  <si>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</si>
  <si>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</si>
  <si>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</si>
  <si>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</si>
  <si>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</si>
  <si>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</si>
  <si>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</si>
  <si>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</si>
  <si>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</si>
  <si>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</si>
  <si>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</si>
  <si>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</si>
  <si>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</si>
  <si>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</si>
  <si>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</si>
  <si>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</si>
  <si>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</si>
  <si>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</si>
  <si>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</si>
  <si>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</si>
  <si>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</si>
  <si>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</si>
  <si>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</si>
  <si>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</si>
  <si>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</si>
  <si>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</si>
  <si>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</si>
  <si>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</si>
  <si>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</si>
  <si>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</si>
  <si>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</si>
  <si>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</si>
  <si>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</si>
  <si>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</si>
  <si>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</si>
  <si>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</si>
  <si>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</si>
  <si>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</si>
  <si>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</si>
  <si>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</si>
  <si>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</si>
  <si>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</si>
  <si>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</si>
  <si>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</si>
  <si>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</si>
  <si>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</si>
  <si>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</si>
  <si>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</si>
  <si>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</si>
  <si>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</si>
  <si>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</si>
  <si>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</si>
  <si>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</si>
  <si>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</si>
  <si>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</si>
  <si>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</si>
  <si>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</si>
  <si>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</si>
  <si>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</si>
  <si>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</si>
  <si>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</si>
  <si>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</si>
  <si>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</si>
  <si>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</si>
  <si>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</si>
  <si>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</si>
  <si>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</si>
  <si>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</si>
  <si>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</si>
  <si>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</si>
  <si>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</si>
  <si>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</si>
  <si>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</si>
  <si>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</si>
  <si>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</si>
  <si>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</si>
  <si>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</si>
  <si>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</si>
  <si>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</si>
  <si>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</si>
  <si>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</si>
  <si>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</si>
  <si>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</si>
  <si>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</si>
  <si>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</si>
  <si>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</si>
  <si>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</si>
  <si>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</si>
  <si>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</si>
  <si>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</si>
  <si>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</si>
  <si>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</si>
  <si>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</si>
  <si>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</si>
  <si>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</si>
  <si>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</si>
  <si>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</si>
  <si>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</si>
  <si>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</si>
  <si>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</si>
  <si>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</si>
  <si>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</si>
  <si>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</si>
  <si>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</si>
  <si>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</si>
  <si>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</si>
  <si>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</si>
  <si>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</si>
  <si>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</si>
  <si>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</si>
  <si>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</si>
  <si>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</si>
  <si>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</si>
  <si>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</si>
  <si>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</si>
  <si>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</si>
  <si>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</si>
  <si>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</si>
  <si>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</si>
  <si>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</si>
  <si>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</si>
  <si>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</si>
  <si>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</si>
  <si>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</si>
  <si>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</si>
  <si>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</si>
  <si>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</si>
  <si>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</si>
  <si>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</si>
  <si>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</si>
  <si>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</si>
  <si>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</si>
  <si>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</si>
  <si>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</si>
  <si>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</si>
  <si>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</si>
  <si>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</si>
  <si>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</si>
  <si>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</si>
  <si>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</si>
  <si>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</si>
  <si>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</si>
  <si>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</si>
  <si>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</si>
  <si>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</si>
  <si>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</si>
  <si>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</si>
  <si>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</si>
  <si>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</si>
  <si>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</si>
  <si>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</si>
  <si>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</si>
  <si>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</si>
  <si>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</si>
  <si>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</si>
  <si>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</si>
  <si>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</si>
  <si>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</si>
  <si>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</si>
  <si>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</si>
  <si>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</si>
  <si>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</si>
  <si>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</si>
  <si>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</si>
  <si>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</si>
  <si>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</si>
  <si>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</si>
  <si>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</si>
  <si>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</si>
  <si>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</si>
  <si>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</si>
  <si>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</si>
  <si>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</si>
  <si>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</si>
  <si>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</si>
  <si>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</si>
  <si>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</si>
  <si>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</si>
  <si>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</si>
  <si>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</si>
  <si>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</si>
  <si>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</si>
  <si>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</si>
  <si>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</si>
  <si>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</si>
  <si>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</si>
  <si>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</si>
  <si>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</si>
  <si>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</si>
  <si>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</si>
  <si>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</si>
  <si>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</si>
  <si>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</si>
  <si>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</si>
  <si>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</si>
  <si>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</si>
  <si>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</si>
  <si>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</si>
  <si>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</si>
  <si>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</si>
  <si>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</si>
  <si>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</si>
  <si>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</si>
  <si>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</si>
  <si>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</si>
  <si>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</si>
  <si>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</si>
  <si>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</si>
  <si>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</si>
  <si>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</si>
  <si>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</si>
  <si>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</si>
  <si>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</si>
  <si>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</si>
  <si>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</si>
  <si>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</si>
  <si>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</si>
  <si>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</si>
  <si>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</si>
  <si>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</si>
  <si>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</si>
  <si>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</si>
  <si>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</si>
  <si>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</si>
  <si>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</si>
  <si>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</si>
  <si>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</si>
  <si>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</si>
  <si>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</si>
  <si>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</si>
  <si>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</si>
  <si>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</si>
  <si>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</si>
  <si>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</si>
  <si>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</si>
  <si>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</si>
  <si>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</si>
  <si>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</si>
  <si>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</si>
  <si>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</si>
  <si>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</si>
  <si>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</si>
  <si>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</si>
  <si>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</si>
  <si>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</si>
  <si>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</si>
  <si>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</si>
  <si>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</si>
  <si>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</si>
  <si>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</si>
  <si>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</si>
  <si>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</si>
  <si>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</si>
  <si>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</si>
  <si>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</si>
  <si>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</si>
  <si>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</si>
  <si>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</si>
  <si>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</si>
  <si>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</si>
  <si>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</si>
  <si>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</si>
  <si>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</si>
  <si>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</si>
  <si>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</si>
  <si>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</si>
  <si>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</si>
  <si>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</si>
  <si>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</si>
  <si>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</si>
  <si>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</si>
  <si>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</si>
  <si>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</si>
  <si>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</si>
  <si>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</si>
  <si>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</si>
  <si>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</si>
  <si>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</si>
  <si>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</si>
  <si>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</si>
  <si>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</si>
  <si>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</si>
  <si>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</si>
  <si>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</si>
  <si>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</si>
  <si>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</si>
  <si>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</si>
  <si>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</si>
  <si>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</si>
  <si>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</si>
  <si>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</si>
  <si>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</si>
  <si>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</si>
  <si>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</si>
  <si>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</si>
  <si>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</si>
  <si>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</si>
  <si>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</si>
  <si>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</si>
  <si>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</si>
  <si>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</si>
  <si>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</si>
  <si>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</si>
  <si>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</si>
  <si>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</si>
  <si>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</si>
  <si>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</si>
  <si>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</si>
  <si>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</si>
  <si>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</si>
  <si>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</si>
  <si>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</si>
  <si>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</si>
  <si>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</si>
  <si>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</si>
  <si>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</si>
  <si>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</si>
  <si>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</si>
  <si>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</si>
  <si>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</si>
  <si>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</si>
  <si>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</si>
  <si>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</si>
  <si>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</si>
  <si>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</si>
  <si>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</si>
  <si>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</si>
  <si>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</si>
  <si>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</si>
  <si>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</si>
  <si>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</si>
  <si>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</si>
  <si>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</si>
  <si>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</si>
  <si>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</si>
  <si>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</si>
  <si>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</si>
  <si>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</si>
  <si>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</si>
  <si>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</si>
  <si>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</si>
  <si>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</si>
  <si>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</si>
  <si>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</si>
  <si>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</si>
  <si>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</si>
  <si>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</si>
  <si>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</si>
  <si>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</si>
  <si>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</si>
  <si>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</si>
  <si>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</si>
  <si>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</si>
  <si>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</si>
  <si>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</si>
  <si>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</si>
  <si>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</si>
  <si>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</si>
  <si>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</si>
  <si>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</si>
  <si>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</si>
  <si>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</si>
  <si>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</si>
  <si>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</si>
  <si>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</si>
  <si>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</si>
  <si>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</si>
  <si>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</si>
  <si>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</si>
  <si>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</si>
  <si>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</si>
  <si>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</si>
  <si>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</si>
  <si>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</si>
  <si>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</si>
  <si>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</si>
  <si>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</si>
  <si>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</si>
  <si>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</si>
  <si>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</si>
  <si>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</si>
  <si>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</si>
  <si>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</si>
  <si>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</si>
  <si>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</si>
  <si>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</si>
  <si>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</si>
  <si>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</si>
  <si>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</si>
  <si>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</si>
  <si>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</si>
  <si>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</si>
  <si>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</si>
  <si>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</si>
  <si>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</si>
  <si>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</si>
  <si>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</si>
  <si>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</si>
  <si>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</si>
  <si>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</si>
  <si>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</si>
  <si>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</si>
  <si>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</si>
  <si>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</si>
  <si>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</si>
  <si>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</si>
  <si>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</si>
  <si>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</si>
  <si>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</si>
  <si>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</si>
  <si>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</si>
  <si>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</si>
  <si>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</si>
  <si>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</si>
  <si>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</si>
  <si>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</si>
  <si>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</si>
  <si>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</si>
  <si>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</si>
  <si>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</si>
  <si>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</si>
  <si>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</si>
  <si>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</si>
  <si>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</si>
  <si>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</si>
  <si>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</si>
  <si>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</si>
  <si>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</si>
  <si>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</si>
  <si>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</si>
  <si>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</si>
  <si>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</si>
  <si>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</si>
  <si>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</si>
  <si>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</si>
  <si>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</si>
  <si>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</si>
  <si>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</si>
  <si>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</si>
  <si>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</si>
  <si>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</si>
  <si>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</si>
  <si>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</si>
  <si>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</si>
  <si>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</si>
  <si>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</si>
  <si>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</si>
  <si>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</si>
  <si>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</si>
  <si>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</si>
  <si>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</si>
  <si>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</si>
  <si>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</si>
  <si>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</si>
  <si>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</si>
  <si>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</si>
  <si>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</si>
  <si>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</si>
  <si>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</si>
  <si>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</si>
  <si>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</si>
  <si>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</si>
  <si>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</si>
  <si>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</si>
  <si>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</si>
  <si>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</si>
  <si>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</si>
  <si>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</si>
  <si>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</si>
  <si>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</si>
  <si>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</si>
  <si>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</si>
  <si>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</si>
  <si>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</si>
  <si>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</si>
  <si>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</si>
  <si>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</si>
  <si>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</si>
  <si>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</si>
  <si>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</si>
  <si>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</si>
  <si>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</si>
  <si>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</si>
  <si>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</si>
  <si>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</si>
  <si>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</si>
  <si>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</si>
  <si>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</si>
  <si>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</si>
  <si>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</si>
  <si>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</si>
  <si>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</si>
  <si>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</si>
  <si>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</si>
  <si>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</si>
  <si>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</si>
  <si>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</si>
  <si>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</si>
  <si>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</si>
  <si>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</si>
  <si>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</si>
  <si>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</si>
  <si>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</si>
  <si>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</si>
  <si>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</si>
  <si>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</si>
  <si>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</si>
  <si>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</si>
  <si>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</si>
  <si>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</si>
  <si>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</si>
  <si>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</si>
  <si>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</si>
  <si>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</si>
  <si>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</si>
  <si>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</si>
  <si>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</si>
  <si>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</si>
  <si>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</si>
  <si>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</si>
  <si>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</si>
  <si>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</si>
  <si>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</si>
  <si>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</si>
  <si>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</si>
  <si>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</si>
  <si>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</si>
  <si>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</si>
  <si>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</si>
  <si>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</si>
  <si>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</si>
  <si>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</si>
  <si>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</si>
  <si>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</si>
  <si>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</si>
  <si>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</si>
  <si>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</si>
  <si>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</si>
  <si>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</si>
  <si>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</si>
  <si>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</si>
  <si>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</si>
  <si>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</si>
  <si>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</si>
  <si>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</si>
  <si>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</si>
  <si>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</si>
  <si>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</si>
  <si>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</si>
  <si>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</si>
  <si>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</si>
  <si>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</si>
  <si>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</si>
  <si>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</si>
  <si>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</si>
  <si>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</si>
  <si>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</si>
  <si>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</si>
  <si>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</si>
  <si>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</si>
  <si>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</si>
  <si>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</si>
  <si>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</si>
  <si>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</si>
  <si>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</si>
  <si>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</si>
  <si>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</si>
  <si>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</si>
  <si>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</si>
  <si>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</si>
  <si>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</si>
  <si>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</si>
  <si>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</si>
  <si>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</si>
  <si>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</si>
  <si>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</si>
  <si>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</si>
  <si>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</si>
  <si>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</si>
  <si>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</si>
  <si>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</si>
  <si>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</si>
  <si>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</si>
  <si>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</si>
  <si>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</si>
  <si>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</si>
  <si>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</si>
  <si>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</si>
  <si>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</si>
  <si>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</si>
  <si>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</si>
  <si>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</si>
  <si>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</si>
  <si>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</si>
  <si>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</si>
  <si>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</si>
  <si>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</si>
  <si>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</si>
  <si>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</si>
  <si>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</si>
  <si>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</si>
  <si>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</si>
  <si>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</si>
  <si>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</si>
  <si>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</si>
  <si>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</si>
  <si>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</si>
  <si>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</si>
  <si>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</si>
  <si>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</si>
  <si>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</si>
  <si>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</si>
  <si>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</si>
  <si>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</si>
  <si>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</si>
  <si>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</si>
  <si>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</si>
  <si>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</si>
  <si>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</si>
  <si>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</si>
  <si>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</si>
  <si>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</si>
  <si>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</si>
  <si>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</si>
  <si>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</si>
  <si>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</si>
  <si>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</si>
  <si>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</si>
  <si>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</si>
  <si>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</si>
  <si>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</si>
  <si>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</si>
  <si>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</si>
  <si>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</si>
  <si>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</si>
  <si>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</si>
  <si>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</si>
  <si>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</si>
  <si>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</si>
  <si>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</si>
  <si>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</si>
  <si>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</si>
  <si>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</si>
  <si>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</si>
  <si>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</si>
  <si>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</si>
  <si>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</si>
  <si>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</si>
  <si>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</si>
  <si>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</si>
  <si>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</si>
  <si>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</si>
  <si>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</si>
  <si>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</si>
  <si>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</si>
  <si>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</si>
  <si>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</si>
  <si>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</si>
  <si>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</si>
  <si>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</si>
  <si>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</si>
  <si>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</si>
  <si>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</si>
  <si>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</si>
  <si>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</si>
  <si>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</si>
  <si>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</si>
  <si>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</si>
  <si>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</si>
  <si>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</si>
  <si>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</si>
  <si>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</si>
  <si>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</si>
  <si>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</si>
  <si>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</si>
  <si>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</si>
  <si>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</si>
  <si>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</si>
  <si>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</si>
  <si>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</si>
  <si>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</si>
  <si>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</si>
  <si>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</si>
  <si>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</si>
  <si>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</si>
  <si>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</si>
  <si>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</si>
  <si>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</si>
  <si>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</si>
  <si>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</si>
  <si>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</si>
  <si>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</si>
  <si>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</si>
  <si>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</si>
  <si>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</si>
  <si>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</si>
  <si>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</si>
  <si>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</si>
  <si>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</si>
  <si>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</si>
  <si>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</si>
  <si>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</si>
  <si>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</si>
  <si>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</si>
  <si>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</si>
  <si>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</si>
  <si>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</si>
  <si>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</si>
  <si>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</si>
  <si>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</si>
  <si>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</si>
  <si>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</si>
  <si>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</si>
  <si>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</si>
  <si>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</si>
  <si>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</si>
  <si>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</si>
  <si>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</si>
  <si>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</si>
  <si>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</si>
  <si>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</si>
  <si>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</si>
  <si>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</si>
  <si>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</si>
  <si>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</si>
  <si>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</si>
  <si>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</si>
  <si>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</si>
  <si>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</si>
  <si>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</si>
  <si>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</si>
  <si>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</si>
  <si>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</si>
  <si>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</si>
  <si>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</si>
  <si>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</si>
  <si>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</si>
  <si>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</si>
  <si>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</si>
  <si>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</si>
  <si>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</si>
  <si>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</si>
  <si>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</si>
  <si>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</si>
  <si>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</si>
  <si>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</si>
  <si>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</si>
  <si>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</si>
  <si>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</si>
  <si>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</si>
  <si>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</si>
  <si>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</si>
  <si>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</si>
  <si>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</si>
  <si>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</si>
  <si>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</si>
  <si>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</si>
  <si>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</si>
  <si>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</si>
  <si>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</si>
  <si>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</si>
  <si>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</si>
  <si>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</si>
  <si>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</si>
  <si>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</si>
  <si>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</si>
  <si>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</si>
  <si>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</si>
  <si>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</si>
  <si>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</si>
  <si>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</si>
  <si>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</si>
  <si>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</si>
  <si>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</si>
  <si>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</si>
  <si>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</si>
  <si>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</si>
  <si>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</si>
  <si>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</si>
  <si>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</si>
  <si>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</si>
  <si>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</si>
  <si>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</si>
  <si>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</si>
  <si>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</si>
  <si>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</si>
  <si>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</si>
  <si>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</si>
  <si>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</si>
  <si>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</si>
  <si>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</si>
  <si>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</si>
  <si>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</si>
  <si>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</si>
  <si>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</si>
  <si>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</si>
  <si>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</si>
  <si>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</si>
  <si>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</si>
  <si>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</si>
  <si>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</si>
  <si>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</si>
  <si>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</si>
  <si>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</si>
  <si>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</si>
  <si>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</si>
  <si>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</si>
  <si>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</si>
  <si>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</si>
  <si>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</si>
  <si>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</si>
  <si>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</si>
  <si>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</si>
  <si>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</si>
  <si>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</si>
  <si>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</si>
  <si>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</si>
  <si>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</si>
  <si>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</si>
  <si>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</si>
  <si>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</si>
  <si>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</si>
  <si>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</si>
  <si>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</si>
  <si>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</si>
  <si>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</si>
  <si>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</si>
  <si>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</si>
  <si>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</si>
  <si>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</si>
  <si>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</si>
  <si>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</si>
  <si>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</si>
  <si>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</si>
  <si>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</si>
  <si>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</si>
  <si>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</si>
  <si>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</si>
  <si>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</si>
  <si>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</si>
  <si>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</si>
  <si>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</si>
  <si>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</si>
  <si>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</si>
  <si>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</si>
  <si>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</si>
  <si>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</si>
  <si>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</si>
  <si>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</si>
  <si>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</si>
  <si>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</si>
  <si>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</si>
  <si>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</si>
  <si>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</si>
  <si>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</si>
  <si>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</si>
  <si>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</si>
  <si>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</si>
  <si>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</si>
  <si>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</si>
  <si>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</si>
  <si>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</si>
  <si>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</si>
  <si>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</si>
  <si>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</si>
  <si>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</si>
  <si>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</si>
  <si>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</si>
  <si>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</si>
  <si>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</si>
  <si>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</si>
  <si>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</si>
  <si>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</si>
  <si>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</si>
  <si>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</si>
  <si>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</si>
  <si>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</si>
  <si>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</si>
  <si>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</si>
  <si>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</si>
  <si>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</si>
  <si>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</si>
  <si>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</si>
  <si>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</si>
  <si>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</si>
  <si>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</si>
  <si>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</si>
  <si>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</si>
  <si>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</si>
  <si>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</si>
  <si>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</si>
  <si>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</si>
  <si>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</si>
  <si>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</si>
  <si>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</si>
  <si>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</si>
  <si>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</si>
  <si>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</si>
  <si>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</si>
  <si>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</si>
  <si>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</si>
  <si>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</si>
  <si>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</si>
  <si>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</si>
  <si>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</si>
  <si>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</si>
  <si>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</si>
  <si>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</si>
  <si>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</si>
  <si>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</si>
  <si>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</si>
  <si>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</si>
  <si>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</si>
  <si>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</si>
  <si>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</si>
  <si>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</si>
  <si>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</si>
  <si>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</si>
  <si>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</si>
  <si>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</si>
  <si>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</si>
  <si>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</si>
  <si>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</si>
  <si>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</si>
  <si>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</si>
  <si>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</si>
  <si>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</si>
  <si>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</si>
  <si>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</si>
  <si>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</si>
  <si>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</si>
  <si>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</si>
  <si>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</si>
  <si>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</si>
  <si>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</si>
  <si>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</si>
  <si>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</si>
  <si>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</si>
  <si>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</si>
  <si>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</si>
  <si>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</si>
  <si>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</si>
  <si>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</si>
  <si>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</si>
  <si>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</si>
  <si>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</si>
  <si>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</si>
  <si>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</si>
  <si>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</si>
  <si>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</si>
  <si>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</si>
  <si>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</si>
  <si>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</si>
  <si>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</si>
  <si>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</si>
  <si>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</si>
  <si>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</si>
  <si>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</si>
  <si>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</si>
  <si>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</si>
  <si>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</si>
  <si>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</si>
  <si>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</si>
  <si>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</si>
  <si>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</si>
  <si>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</si>
  <si>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</si>
  <si>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</si>
  <si>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</si>
  <si>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</si>
  <si>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</si>
  <si>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</si>
  <si>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</si>
  <si>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</si>
  <si>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</si>
  <si>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</si>
  <si>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</si>
  <si>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</si>
  <si>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</si>
  <si>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</si>
  <si>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</si>
  <si>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</si>
  <si>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</si>
  <si>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</si>
  <si>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</si>
  <si>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</si>
  <si>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</si>
  <si>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</si>
  <si>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</si>
  <si>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</si>
  <si>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</si>
  <si>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</si>
  <si>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</si>
  <si>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</si>
  <si>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</si>
  <si>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</si>
  <si>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</si>
  <si>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</si>
  <si>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</si>
  <si>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</si>
  <si>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</si>
  <si>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</si>
  <si>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</si>
  <si>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</si>
  <si>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</si>
  <si>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</si>
  <si>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</si>
  <si>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</si>
  <si>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</si>
  <si>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</si>
  <si>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</si>
  <si>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</si>
  <si>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</si>
  <si>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</si>
  <si>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</si>
  <si>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</si>
  <si>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</si>
  <si>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</si>
  <si>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</si>
  <si>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</si>
  <si>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</si>
  <si>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</si>
  <si>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</si>
  <si>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</si>
  <si>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</si>
  <si>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</si>
  <si>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</si>
  <si>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</si>
  <si>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</si>
  <si>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</si>
  <si>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</si>
  <si>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</si>
  <si>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</si>
  <si>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</si>
  <si>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</si>
  <si>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</si>
  <si>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</si>
  <si>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</si>
  <si>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</si>
  <si>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</si>
  <si>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</si>
  <si>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</si>
  <si>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</si>
  <si>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</si>
  <si>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</si>
  <si>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</si>
  <si>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</si>
  <si>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</si>
  <si>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</si>
  <si>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</si>
  <si>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</si>
  <si>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</si>
  <si>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</si>
  <si>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</si>
  <si>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</si>
  <si>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</si>
  <si>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</si>
  <si>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</si>
  <si>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</si>
  <si>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</si>
  <si>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</si>
  <si>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</si>
  <si>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</si>
  <si>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</si>
  <si>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</si>
  <si>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</si>
  <si>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</si>
  <si>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</si>
  <si>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</si>
  <si>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</si>
  <si>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</si>
  <si>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</si>
  <si>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</si>
  <si>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</si>
  <si>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</si>
  <si>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</si>
  <si>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</si>
  <si>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</si>
  <si>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</si>
  <si>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</si>
  <si>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</si>
  <si>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</si>
  <si>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</si>
  <si>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</si>
  <si>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</si>
  <si>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</si>
  <si>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</si>
  <si>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</si>
  <si>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</si>
  <si>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</si>
  <si>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</si>
  <si>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</si>
  <si>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</si>
  <si>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</si>
  <si>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</si>
  <si>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</si>
  <si>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</si>
  <si>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</si>
  <si>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</si>
  <si>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</si>
  <si>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</si>
  <si>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</si>
  <si>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</si>
  <si>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</si>
  <si>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</si>
  <si>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</si>
  <si>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</si>
  <si>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</si>
  <si>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</si>
  <si>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</si>
  <si>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</si>
  <si>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</si>
  <si>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</si>
  <si>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</si>
  <si>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</si>
  <si>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</si>
  <si>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</si>
  <si>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</si>
  <si>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</si>
  <si>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</si>
  <si>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</si>
  <si>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</si>
  <si>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</si>
  <si>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</si>
  <si>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</si>
  <si>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</si>
  <si>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</si>
  <si>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</si>
  <si>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</si>
  <si>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</si>
  <si>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</si>
  <si>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</si>
  <si>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</si>
  <si>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</si>
  <si>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</si>
  <si>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</si>
  <si>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</si>
  <si>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</si>
  <si>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</si>
  <si>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</si>
  <si>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</si>
  <si>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</si>
  <si>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</si>
  <si>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</si>
  <si>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</si>
  <si>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</si>
  <si>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</si>
  <si>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</si>
  <si>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</si>
  <si>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</si>
  <si>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</si>
  <si>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</si>
  <si>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</si>
  <si>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</si>
  <si>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</si>
  <si>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</si>
  <si>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</si>
  <si>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</si>
  <si>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</si>
  <si>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</si>
  <si>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</si>
  <si>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</si>
  <si>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</si>
  <si>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</si>
  <si>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</si>
  <si>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</si>
  <si>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</si>
  <si>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</si>
  <si>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</si>
  <si>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</si>
  <si>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</si>
  <si>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</si>
  <si>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</si>
  <si>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</si>
  <si>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</si>
  <si>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</si>
  <si>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</si>
  <si>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</si>
  <si>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</si>
  <si>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</si>
  <si>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</si>
  <si>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</si>
  <si>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</si>
  <si>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</si>
  <si>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</si>
  <si>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</si>
  <si>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</si>
  <si>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</si>
  <si>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</si>
  <si>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</si>
  <si>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</si>
  <si>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</si>
  <si>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</si>
  <si>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</si>
  <si>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</si>
  <si>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</si>
  <si>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</si>
  <si>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</si>
  <si>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</si>
  <si>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</si>
  <si>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</si>
  <si>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</si>
  <si>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</si>
  <si>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</si>
  <si>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</si>
  <si>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</si>
  <si>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</si>
  <si>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</si>
  <si>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</si>
  <si>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</si>
  <si>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</si>
  <si>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</si>
  <si>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</si>
  <si>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</si>
  <si>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</si>
  <si>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</si>
  <si>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</si>
  <si>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</si>
  <si>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</si>
  <si>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</si>
  <si>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</si>
  <si>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</si>
  <si>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</si>
  <si>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</si>
  <si>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</si>
  <si>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</si>
  <si>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</si>
  <si>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</si>
  <si>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</si>
  <si>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</si>
  <si>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</si>
  <si>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</si>
  <si>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</si>
  <si>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</si>
  <si>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</si>
  <si>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</si>
  <si>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</si>
  <si>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</si>
  <si>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</si>
  <si>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</si>
  <si>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</si>
  <si>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</si>
  <si>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</si>
  <si>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</si>
  <si>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</si>
  <si>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</si>
  <si>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</si>
  <si>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</si>
  <si>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</si>
  <si>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</si>
  <si>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</si>
  <si>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</si>
  <si>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</si>
  <si>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</si>
  <si>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</si>
  <si>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</si>
  <si>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</si>
  <si>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</si>
  <si>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</si>
  <si>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</si>
  <si>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</si>
  <si>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</si>
  <si>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</si>
  <si>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</si>
  <si>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</si>
  <si>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</si>
  <si>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</si>
  <si>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</si>
  <si>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</si>
  <si>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</si>
  <si>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</si>
  <si>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</si>
  <si>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</si>
  <si>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</si>
  <si>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</si>
  <si>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</si>
  <si>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</si>
  <si>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</si>
  <si>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</si>
  <si>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</si>
  <si>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</si>
  <si>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</si>
  <si>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</si>
  <si>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</si>
  <si>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</si>
  <si>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</si>
  <si>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</si>
  <si>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</si>
  <si>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</si>
  <si>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</si>
  <si>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</si>
  <si>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</si>
  <si>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</si>
  <si>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</si>
  <si>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</si>
  <si>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</si>
  <si>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</si>
  <si>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</si>
  <si>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</si>
  <si>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</si>
  <si>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</si>
  <si>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</si>
  <si>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</si>
  <si>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</si>
  <si>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</si>
  <si>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</si>
  <si>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</si>
  <si>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</si>
  <si>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</si>
  <si>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</si>
  <si>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</si>
  <si>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</si>
  <si>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</si>
  <si>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</si>
  <si>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</si>
  <si>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</si>
  <si>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</si>
  <si>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</si>
  <si>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</si>
  <si>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</si>
  <si>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</si>
  <si>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</si>
  <si>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</si>
  <si>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</si>
  <si>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</si>
  <si>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</si>
  <si>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</si>
  <si>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</si>
  <si>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</si>
  <si>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</si>
  <si>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</si>
  <si>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</si>
  <si>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</si>
  <si>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</si>
  <si>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</si>
  <si>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</si>
  <si>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</si>
  <si>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</si>
  <si>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</si>
  <si>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</si>
  <si>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</si>
  <si>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</si>
  <si>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</si>
  <si>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</si>
  <si>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</si>
  <si>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</si>
  <si>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</si>
  <si>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</si>
  <si>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</si>
  <si>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</si>
  <si>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</si>
  <si>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</si>
  <si>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</si>
  <si>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</si>
  <si>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</si>
  <si>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</si>
  <si>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</si>
  <si>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</si>
  <si>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</si>
  <si>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</si>
  <si>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</si>
  <si>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</si>
  <si>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</si>
  <si>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</si>
  <si>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</si>
  <si>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</si>
  <si>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</si>
  <si>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</si>
  <si>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</si>
  <si>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</si>
  <si>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</si>
  <si>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</si>
  <si>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</si>
  <si>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</si>
  <si>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</si>
  <si>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</si>
  <si>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</si>
  <si>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</si>
  <si>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</si>
  <si>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</si>
  <si>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</si>
  <si>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</si>
  <si>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</si>
  <si>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</si>
  <si>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</si>
  <si>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</si>
  <si>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</si>
  <si>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</si>
  <si>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</si>
  <si>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</si>
  <si>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</si>
  <si>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</si>
  <si>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</si>
  <si>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</si>
  <si>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</si>
  <si>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</si>
  <si>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</si>
  <si>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</si>
  <si>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</si>
  <si>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</si>
  <si>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</si>
  <si>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</si>
  <si>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</si>
  <si>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</si>
  <si>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</si>
  <si>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</si>
  <si>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</si>
  <si>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</si>
  <si>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</si>
  <si>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</si>
  <si>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</si>
  <si>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</si>
  <si>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</si>
  <si>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</si>
  <si>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</si>
  <si>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</si>
  <si>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</si>
  <si>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</si>
  <si>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</si>
  <si>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</si>
  <si>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</si>
  <si>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</si>
  <si>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</si>
  <si>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</si>
  <si>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</si>
  <si>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</si>
  <si>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</si>
  <si>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</si>
  <si>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</si>
  <si>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</si>
  <si>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</si>
  <si>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</si>
  <si>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</si>
  <si>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</si>
  <si>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</si>
  <si>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</si>
  <si>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</si>
  <si>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</si>
  <si>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</si>
  <si>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</si>
  <si>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</si>
  <si>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</si>
  <si>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</si>
  <si>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</si>
  <si>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</si>
  <si>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</si>
  <si>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</si>
  <si>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</si>
  <si>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</si>
  <si>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</si>
  <si>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</si>
  <si>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</si>
  <si>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</si>
  <si>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</si>
  <si>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</si>
  <si>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</si>
  <si>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</si>
  <si>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</si>
  <si>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</si>
  <si>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</si>
  <si>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</si>
  <si>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</si>
  <si>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</si>
  <si>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</si>
  <si>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</si>
  <si>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</si>
  <si>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</si>
  <si>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</si>
  <si>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</si>
  <si>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</si>
  <si>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</si>
  <si>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</si>
  <si>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</si>
  <si>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</si>
  <si>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</si>
  <si>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</si>
  <si>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</si>
  <si>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</si>
  <si>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</si>
  <si>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</si>
  <si>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</si>
  <si>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</si>
  <si>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</si>
  <si>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</si>
  <si>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</si>
  <si>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</si>
  <si>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</si>
  <si>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</si>
  <si>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</si>
  <si>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</si>
  <si>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</si>
  <si>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</si>
  <si>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</si>
  <si>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</si>
  <si>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</si>
  <si>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</si>
  <si>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</si>
  <si>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</si>
  <si>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</si>
  <si>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</si>
  <si>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</si>
  <si>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</si>
  <si>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</si>
  <si>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</si>
  <si>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</si>
  <si>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</si>
  <si>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</si>
  <si>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</si>
  <si>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</si>
  <si>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</si>
  <si>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</si>
  <si>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</si>
  <si>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</si>
  <si>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</si>
  <si>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</si>
  <si>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</si>
  <si>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</si>
  <si>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</si>
  <si>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</si>
  <si>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</si>
  <si>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</si>
  <si>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</si>
  <si>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</si>
  <si>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</si>
  <si>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</si>
  <si>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</si>
  <si>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</si>
  <si>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</si>
  <si>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</si>
  <si>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</si>
  <si>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</si>
  <si>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</si>
  <si>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</si>
  <si>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</si>
  <si>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</si>
  <si>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</si>
  <si>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</si>
  <si>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</si>
  <si>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</si>
  <si>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</si>
  <si>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</si>
  <si>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</si>
  <si>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</si>
  <si>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</si>
  <si>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</si>
  <si>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</si>
  <si>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</si>
  <si>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</si>
  <si>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</si>
  <si>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</si>
  <si>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</si>
  <si>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</si>
  <si>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</si>
  <si>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</si>
  <si>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</si>
  <si>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</si>
  <si>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</si>
  <si>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</si>
  <si>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</si>
  <si>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</si>
  <si>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</si>
  <si>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</si>
  <si>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</si>
  <si>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</si>
  <si>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</si>
  <si>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</si>
  <si>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</si>
  <si>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</si>
  <si>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</si>
  <si>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</si>
  <si>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</si>
  <si>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</si>
  <si>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</si>
  <si>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</si>
  <si>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</si>
  <si>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</si>
  <si>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</si>
  <si>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</si>
  <si>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</si>
  <si>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</si>
  <si>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</si>
  <si>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</si>
  <si>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</si>
  <si>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</si>
  <si>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</si>
  <si>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</si>
  <si>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</si>
  <si>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</si>
  <si>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</si>
  <si>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</si>
  <si>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</si>
  <si>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</si>
  <si>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</si>
  <si>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</si>
  <si>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</si>
  <si>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</si>
  <si>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</si>
  <si>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</si>
  <si>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</si>
  <si>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</si>
  <si>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</si>
  <si>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</si>
  <si>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</si>
  <si>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</si>
  <si>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</si>
  <si>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</si>
  <si>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</si>
  <si>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</si>
  <si>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</si>
  <si>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</si>
  <si>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</si>
  <si>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</si>
  <si>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</si>
  <si>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</si>
  <si>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</si>
  <si>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</si>
  <si>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</si>
  <si>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</si>
  <si>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</si>
  <si>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</si>
  <si>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</si>
  <si>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</si>
  <si>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</si>
  <si>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</si>
  <si>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</si>
  <si>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</si>
  <si>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</si>
  <si>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</si>
  <si>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</si>
  <si>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</si>
  <si>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</si>
  <si>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</si>
  <si>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</si>
  <si>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</si>
  <si>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</si>
  <si>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</si>
  <si>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</si>
  <si>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</si>
  <si>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</si>
  <si>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</si>
  <si>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</si>
  <si>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</si>
  <si>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</si>
  <si>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</si>
  <si>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</si>
  <si>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</si>
  <si>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</si>
  <si>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</si>
  <si>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</si>
  <si>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</si>
  <si>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</si>
  <si>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</si>
  <si>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</si>
  <si>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</si>
  <si>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</si>
  <si>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</si>
  <si>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</si>
  <si>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</si>
  <si>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</si>
  <si>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</si>
  <si>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</si>
  <si>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</si>
  <si>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</si>
  <si>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</si>
  <si>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</si>
  <si>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</si>
  <si>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</si>
  <si>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</si>
  <si>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</si>
  <si>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</si>
  <si>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</si>
  <si>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</si>
  <si>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</si>
  <si>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</si>
  <si>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</si>
  <si>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</si>
  <si>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</si>
  <si>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</si>
  <si>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</si>
  <si>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</si>
  <si>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</si>
  <si>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</si>
  <si>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</si>
  <si>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</si>
  <si>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</si>
  <si>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</si>
  <si>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</si>
  <si>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</si>
  <si>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</si>
  <si>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</si>
  <si>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</si>
  <si>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</si>
  <si>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</si>
  <si>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</si>
  <si>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</si>
  <si>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</si>
  <si>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</si>
  <si>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</si>
  <si>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</si>
  <si>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</si>
  <si>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</si>
  <si>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</si>
  <si>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</si>
  <si>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</si>
  <si>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</si>
  <si>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</si>
  <si>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</si>
  <si>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</si>
  <si>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</si>
  <si>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</si>
  <si>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</si>
  <si>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</si>
  <si>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</si>
  <si>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</si>
  <si>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</si>
  <si>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</si>
  <si>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</si>
  <si>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</si>
  <si>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</si>
  <si>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</si>
  <si>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</si>
  <si>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</si>
  <si>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</si>
  <si>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</si>
  <si>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</si>
  <si>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</si>
  <si>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</si>
  <si>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</si>
  <si>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</si>
  <si>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</si>
  <si>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</si>
  <si>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</si>
  <si>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</si>
  <si>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</si>
  <si>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</si>
  <si>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</si>
  <si>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</si>
  <si>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</si>
  <si>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</si>
  <si>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</si>
  <si>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</si>
  <si>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</si>
  <si>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</si>
  <si>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</si>
  <si>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</si>
  <si>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</si>
  <si>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</si>
  <si>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</si>
  <si>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</si>
  <si>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</si>
  <si>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</si>
  <si>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</si>
  <si>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</si>
  <si>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</si>
  <si>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</si>
  <si>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</si>
  <si>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</si>
  <si>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</si>
  <si>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</si>
  <si>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</si>
  <si>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</si>
  <si>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</si>
  <si>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</si>
  <si>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</si>
  <si>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</si>
  <si>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</si>
  <si>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</si>
  <si>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</si>
  <si>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</si>
  <si>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</si>
  <si>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</si>
  <si>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</si>
  <si>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</si>
  <si>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</si>
  <si>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</si>
  <si>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</si>
  <si>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</si>
  <si>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</si>
  <si>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</si>
  <si>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</si>
  <si>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</si>
  <si>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</si>
  <si>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</si>
  <si>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</si>
  <si>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</si>
  <si>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</si>
  <si>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</si>
  <si>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</si>
  <si>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</si>
  <si>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</si>
  <si>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</si>
  <si>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</si>
  <si>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</si>
  <si>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</si>
  <si>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</si>
  <si>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</si>
  <si>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</si>
  <si>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</si>
  <si>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</si>
  <si>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</si>
  <si>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</si>
  <si>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</si>
  <si>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</si>
  <si>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</si>
  <si>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</si>
  <si>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</si>
  <si>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</si>
  <si>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</si>
  <si>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</si>
  <si>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</si>
  <si>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</si>
  <si>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</si>
  <si>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</si>
  <si>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</si>
  <si>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</si>
  <si>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</si>
  <si>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</si>
  <si>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</si>
  <si>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</si>
  <si>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</si>
  <si>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</si>
  <si>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</si>
  <si>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</si>
  <si>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</si>
  <si>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</si>
  <si>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</si>
  <si>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</si>
  <si>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</si>
  <si>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</si>
  <si>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</si>
  <si>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</si>
  <si>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</si>
  <si>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</si>
  <si>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</si>
  <si>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</si>
  <si>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</si>
  <si>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</si>
  <si>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</si>
  <si>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</si>
  <si>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</si>
  <si>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</si>
  <si>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</si>
  <si>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</si>
  <si>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</si>
  <si>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</si>
  <si>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</si>
  <si>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</si>
  <si>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</si>
  <si>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</si>
  <si>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</si>
  <si>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</si>
  <si>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</si>
  <si>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</si>
  <si>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</si>
  <si>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</si>
  <si>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</si>
  <si>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</si>
  <si>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</si>
  <si>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</si>
  <si>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</si>
  <si>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</si>
  <si>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</si>
  <si>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</si>
  <si>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</si>
  <si>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</si>
  <si>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</si>
  <si>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</si>
  <si>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</si>
  <si>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</si>
  <si>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</si>
  <si>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</si>
  <si>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</si>
  <si>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</si>
  <si>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</si>
  <si>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</si>
  <si>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</si>
  <si>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</si>
  <si>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</si>
  <si>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</si>
  <si>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</si>
  <si>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</si>
  <si>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</si>
  <si>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</si>
  <si>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</si>
  <si>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</si>
  <si>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</si>
  <si>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</si>
  <si>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</si>
  <si>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</si>
  <si>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</si>
  <si>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</si>
  <si>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</si>
  <si>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</si>
  <si>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</si>
  <si>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</si>
  <si>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</si>
  <si>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</si>
  <si>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</si>
  <si>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</si>
  <si>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</si>
  <si>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</si>
  <si>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</si>
  <si>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</si>
  <si>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</si>
  <si>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</si>
  <si>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</si>
  <si>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</si>
  <si>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</si>
  <si>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</si>
  <si>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</si>
  <si>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</si>
  <si>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</si>
  <si>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</si>
  <si>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</si>
  <si>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</si>
  <si>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</si>
  <si>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</si>
  <si>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</si>
  <si>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</si>
  <si>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</si>
  <si>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</si>
  <si>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</si>
  <si>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</si>
  <si>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</si>
  <si>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</si>
  <si>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</si>
  <si>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</si>
  <si>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</si>
  <si>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</si>
  <si>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</si>
  <si>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</si>
  <si>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</si>
  <si>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</si>
  <si>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</si>
  <si>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</si>
  <si>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</si>
  <si>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</si>
  <si>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</si>
  <si>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</si>
  <si>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</si>
  <si>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</si>
  <si>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</si>
  <si>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</si>
  <si>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</si>
  <si>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</si>
  <si>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</si>
  <si>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</si>
  <si>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</si>
  <si>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</si>
  <si>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</si>
  <si>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</si>
  <si>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</si>
  <si>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</si>
  <si>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</si>
  <si>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</si>
  <si>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</si>
  <si>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</si>
  <si>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</si>
  <si>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</si>
  <si>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</si>
  <si>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</si>
  <si>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</si>
  <si>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</si>
  <si>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</si>
  <si>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</si>
  <si>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</si>
  <si>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</si>
  <si>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</si>
  <si>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</si>
  <si>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</si>
  <si>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</si>
  <si>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</si>
  <si>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</si>
  <si>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</si>
  <si>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</si>
  <si>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</si>
  <si>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</si>
  <si>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</si>
  <si>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</si>
  <si>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</si>
  <si>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</si>
  <si>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</si>
  <si>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</si>
  <si>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</si>
  <si>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</si>
  <si>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</si>
  <si>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</si>
  <si>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</si>
  <si>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</si>
  <si>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</si>
  <si>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</si>
  <si>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</si>
  <si>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</si>
  <si>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</si>
  <si>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</si>
  <si>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</si>
  <si>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</si>
  <si>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</si>
  <si>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</si>
  <si>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</si>
  <si>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</si>
  <si>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</si>
  <si>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</si>
  <si>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</si>
  <si>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</si>
  <si>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</si>
  <si>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</si>
  <si>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</si>
  <si>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</si>
  <si>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</si>
  <si>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</si>
  <si>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</si>
  <si>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</si>
  <si>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</si>
  <si>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</si>
  <si>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</si>
  <si>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</si>
  <si>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</si>
  <si>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</si>
  <si>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</si>
  <si>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</si>
  <si>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</si>
  <si>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</si>
  <si>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</si>
  <si>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</si>
  <si>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</si>
  <si>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</si>
  <si>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</si>
  <si>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</si>
  <si>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</si>
  <si>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</si>
  <si>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</si>
  <si>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</si>
  <si>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</si>
  <si>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</si>
  <si>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</si>
  <si>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</si>
  <si>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</si>
  <si>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</si>
  <si>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</si>
  <si>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</si>
  <si>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</si>
  <si>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</si>
  <si>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</si>
  <si>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</si>
  <si>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</si>
  <si>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</si>
  <si>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</si>
  <si>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</si>
  <si>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</si>
  <si>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</si>
  <si>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</si>
  <si>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</si>
  <si>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</si>
  <si>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</si>
  <si>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</si>
  <si>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</si>
  <si>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</si>
  <si>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</si>
  <si>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</si>
  <si>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</si>
  <si>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</si>
  <si>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</si>
  <si>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</si>
  <si>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</si>
  <si>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</si>
  <si>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</si>
  <si>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</si>
  <si>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</si>
  <si>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</si>
  <si>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</si>
  <si>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</si>
  <si>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</si>
  <si>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</si>
  <si>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</si>
  <si>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</si>
  <si>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</si>
  <si>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</si>
  <si>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</si>
  <si>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</si>
  <si>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</si>
  <si>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</si>
  <si>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</si>
  <si>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</si>
  <si>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</si>
  <si>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</si>
  <si>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</si>
  <si>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</si>
  <si>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</si>
  <si>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</si>
  <si>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</si>
  <si>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</si>
  <si>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</si>
  <si>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</si>
  <si>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</si>
  <si>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</si>
  <si>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</si>
  <si>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</si>
  <si>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</si>
  <si>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</si>
  <si>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</si>
  <si>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</si>
  <si>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</si>
  <si>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</si>
  <si>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</si>
  <si>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</si>
  <si>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</si>
  <si>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</si>
  <si>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</si>
  <si>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</si>
  <si>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</si>
  <si>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</si>
  <si>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</si>
  <si>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</si>
  <si>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</si>
  <si>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</si>
  <si>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</si>
  <si>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</si>
  <si>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</si>
  <si>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</si>
  <si>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</si>
  <si>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</si>
  <si>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</si>
  <si>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</si>
  <si>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</si>
  <si>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</si>
  <si>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</si>
  <si>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</si>
  <si>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</si>
  <si>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</si>
  <si>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</si>
  <si>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</si>
  <si>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</si>
  <si>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</si>
  <si>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</si>
  <si>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</si>
  <si>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</si>
  <si>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</si>
  <si>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</si>
  <si>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</si>
  <si>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</si>
  <si>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</si>
  <si>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</si>
  <si>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</si>
  <si>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</si>
  <si>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</si>
  <si>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</si>
  <si>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</si>
  <si>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</si>
  <si>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</si>
  <si>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</si>
  <si>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</si>
  <si>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</si>
  <si>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</si>
  <si>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</si>
  <si>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</si>
  <si>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</si>
  <si>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</si>
  <si>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</si>
  <si>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</si>
  <si>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</si>
  <si>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</si>
  <si>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</si>
  <si>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</si>
  <si>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</si>
  <si>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</si>
  <si>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</si>
  <si>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</si>
  <si>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</si>
  <si>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</si>
  <si>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</si>
  <si>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</si>
  <si>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</si>
  <si>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</si>
  <si>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</si>
  <si>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</si>
  <si>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</si>
  <si>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</si>
  <si>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</si>
  <si>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</si>
  <si>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</si>
  <si>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</si>
  <si>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</si>
  <si>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</si>
  <si>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</si>
  <si>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</si>
  <si>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</si>
  <si>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</si>
  <si>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</si>
  <si>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</si>
  <si>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</si>
  <si>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</si>
  <si>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</si>
  <si>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</si>
  <si>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</si>
  <si>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</si>
  <si>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</si>
  <si>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</si>
  <si>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</si>
  <si>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</si>
  <si>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</si>
  <si>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</si>
  <si>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</si>
  <si>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</si>
  <si>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</si>
  <si>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</si>
  <si>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</si>
  <si>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</si>
  <si>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</si>
  <si>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</si>
  <si>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</si>
  <si>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</si>
  <si>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</si>
  <si>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</si>
  <si>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</si>
  <si>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</si>
  <si>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</si>
  <si>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</si>
  <si>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</si>
  <si>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</si>
  <si>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</si>
  <si>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</si>
  <si>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</si>
  <si>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</si>
  <si>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</si>
  <si>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</si>
  <si>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</si>
  <si>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</si>
  <si>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</si>
  <si>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</si>
  <si>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</si>
  <si>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</si>
  <si>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</si>
  <si>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</si>
  <si>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</si>
  <si>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</si>
  <si>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</si>
  <si>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</si>
  <si>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</si>
  <si>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</si>
  <si>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</si>
  <si>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</si>
  <si>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</si>
  <si>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</si>
  <si>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</si>
  <si>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</si>
  <si>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</si>
  <si>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</si>
  <si>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</si>
  <si>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</si>
  <si>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</si>
  <si>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</si>
  <si>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</si>
  <si>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</si>
  <si>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</si>
  <si>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</si>
  <si>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</si>
  <si>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</si>
  <si>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</si>
  <si>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</si>
  <si>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</si>
  <si>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</si>
  <si>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</si>
  <si>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</si>
  <si>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</si>
  <si>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</si>
  <si>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</si>
  <si>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</si>
  <si>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</si>
  <si>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</si>
  <si>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</si>
  <si>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</si>
  <si>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</si>
  <si>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</si>
  <si>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</si>
  <si>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</si>
  <si>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</si>
  <si>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</si>
  <si>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</si>
  <si>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</si>
  <si>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</si>
  <si>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</si>
  <si>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</si>
  <si>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</si>
  <si>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</si>
  <si>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</si>
  <si>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</si>
  <si>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</si>
  <si>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</si>
  <si>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</si>
  <si>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</si>
  <si>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</si>
  <si>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</si>
  <si>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</si>
  <si>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</si>
  <si>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</si>
  <si>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</si>
  <si>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</si>
  <si>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</si>
  <si>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</si>
  <si>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</si>
  <si>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</si>
  <si>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</si>
  <si>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</si>
  <si>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</si>
  <si>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</si>
  <si>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</si>
  <si>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</si>
  <si>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</si>
  <si>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</si>
  <si>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</si>
  <si>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</si>
  <si>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</si>
  <si>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</si>
  <si>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</si>
  <si>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</si>
  <si>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</si>
  <si>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</si>
  <si>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</si>
  <si>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</si>
  <si>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</si>
  <si>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</si>
  <si>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</si>
  <si>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</si>
  <si>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</si>
  <si>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</si>
  <si>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</si>
  <si>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</si>
  <si>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</si>
  <si>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</si>
  <si>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</si>
  <si>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</si>
  <si>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</si>
  <si>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</si>
  <si>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</si>
  <si>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</si>
  <si>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</si>
  <si>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</si>
  <si>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</si>
  <si>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</si>
  <si>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</si>
  <si>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</si>
  <si>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</si>
  <si>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</si>
  <si>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</si>
  <si>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</si>
  <si>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</si>
  <si>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</si>
  <si>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</si>
  <si>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</si>
  <si>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</si>
  <si>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</si>
  <si>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</si>
  <si>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</si>
  <si>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</si>
  <si>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</si>
  <si>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</si>
  <si>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</si>
  <si>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</si>
  <si>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</si>
  <si>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</si>
  <si>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</si>
  <si>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</si>
  <si>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</si>
  <si>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</si>
  <si>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</si>
  <si>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</si>
  <si>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</si>
  <si>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</si>
  <si>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</si>
  <si>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</si>
  <si>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</si>
  <si>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</si>
  <si>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</si>
  <si>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</si>
  <si>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</si>
  <si>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</si>
  <si>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</si>
  <si>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</si>
  <si>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</si>
  <si>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</si>
  <si>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</si>
  <si>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</si>
  <si>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</si>
  <si>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</si>
  <si>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</si>
  <si>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</si>
  <si>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</si>
  <si>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</si>
  <si>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</si>
  <si>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</si>
  <si>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</si>
  <si>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</si>
  <si>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</si>
  <si>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</si>
  <si>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</si>
  <si>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</si>
  <si>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</si>
  <si>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</si>
  <si>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</si>
  <si>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</si>
  <si>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</si>
  <si>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</si>
  <si>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</si>
  <si>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</si>
  <si>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</si>
  <si>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</si>
  <si>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</si>
  <si>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</si>
  <si>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</si>
  <si>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</si>
  <si>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</si>
  <si>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</si>
  <si>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</si>
  <si>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</si>
  <si>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</si>
  <si>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</si>
  <si>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</si>
  <si>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</si>
  <si>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</si>
  <si>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</si>
  <si>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</si>
  <si>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</si>
  <si>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</si>
  <si>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</si>
  <si>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</si>
  <si>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</si>
  <si>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</si>
  <si>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</si>
  <si>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</si>
  <si>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</si>
  <si>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</si>
  <si>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</si>
  <si>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</si>
  <si>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</si>
  <si>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</si>
  <si>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</si>
  <si>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</si>
  <si>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</si>
  <si>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</si>
  <si>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</si>
  <si>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</si>
  <si>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</si>
  <si>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</si>
  <si>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</si>
  <si>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</si>
  <si>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</si>
  <si>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</si>
  <si>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</si>
  <si>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</si>
  <si>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</si>
  <si>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</si>
  <si>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</si>
  <si>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</si>
  <si>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</si>
  <si>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</si>
  <si>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</si>
  <si>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</si>
  <si>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</si>
  <si>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</si>
  <si>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</si>
  <si>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</si>
  <si>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</si>
  <si>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</si>
  <si>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</si>
  <si>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</si>
  <si>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</si>
  <si>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</si>
  <si>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</si>
  <si>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</si>
  <si>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</si>
  <si>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</si>
  <si>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</si>
  <si>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</si>
  <si>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</si>
  <si>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</si>
  <si>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</si>
  <si>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</si>
  <si>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</si>
  <si>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</si>
  <si>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</si>
  <si>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</si>
  <si>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</si>
  <si>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</si>
  <si>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</si>
  <si>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</si>
  <si>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</si>
  <si>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</si>
  <si>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</si>
  <si>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</si>
  <si>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</si>
  <si>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</si>
  <si>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</si>
  <si>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</si>
  <si>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</si>
  <si>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</si>
  <si>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</si>
  <si>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</si>
  <si>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</si>
  <si>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</si>
  <si>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</si>
  <si>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</si>
  <si>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</si>
  <si>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</si>
  <si>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</si>
  <si>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</si>
  <si>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</si>
  <si>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</si>
  <si>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</si>
  <si>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</si>
  <si>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</si>
  <si>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</si>
  <si>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</si>
  <si>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</si>
  <si>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</si>
  <si>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</si>
  <si>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</si>
  <si>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</si>
  <si>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</si>
  <si>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</si>
  <si>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</si>
  <si>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</si>
  <si>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</si>
  <si>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</si>
  <si>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</si>
  <si>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</si>
  <si>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</si>
  <si>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</si>
  <si>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</si>
  <si>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</si>
  <si>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</si>
  <si>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</si>
  <si>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</si>
  <si>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</si>
  <si>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</si>
  <si>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</si>
  <si>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</si>
  <si>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</si>
  <si>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</si>
  <si>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</si>
  <si>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</si>
  <si>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</si>
  <si>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</si>
  <si>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</si>
  <si>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</si>
  <si>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</si>
  <si>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</si>
  <si>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</si>
  <si>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</si>
  <si>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</si>
  <si>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</si>
  <si>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</si>
  <si>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</si>
  <si>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</si>
  <si>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</si>
  <si>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</si>
  <si>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</si>
  <si>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</si>
  <si>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</si>
  <si>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</si>
  <si>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</si>
  <si>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</si>
  <si>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</si>
  <si>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</si>
  <si>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</si>
  <si>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</si>
  <si>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</si>
  <si>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</si>
  <si>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</si>
  <si>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</si>
  <si>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</si>
  <si>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</si>
  <si>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</si>
  <si>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</si>
  <si>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</si>
  <si>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</si>
  <si>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</si>
  <si>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</si>
  <si>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</si>
  <si>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</si>
  <si>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</si>
  <si>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</si>
  <si>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</si>
  <si>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</si>
  <si>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</si>
  <si>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</si>
  <si>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</si>
  <si>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</si>
  <si>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</si>
  <si>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</si>
  <si>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</si>
  <si>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</si>
  <si>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</si>
  <si>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</si>
  <si>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</si>
  <si>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</si>
  <si>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</si>
  <si>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</si>
  <si>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</si>
  <si>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</si>
  <si>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</si>
  <si>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</si>
  <si>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</si>
  <si>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</si>
  <si>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</si>
  <si>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</si>
  <si>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</si>
  <si>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</si>
  <si>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</si>
  <si>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</si>
  <si>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</si>
  <si>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</si>
  <si>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</si>
  <si>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</si>
  <si>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</si>
  <si>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</si>
  <si>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</si>
  <si>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</si>
  <si>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</si>
  <si>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</si>
  <si>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</si>
  <si>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</si>
  <si>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</si>
  <si>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</si>
  <si>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</si>
  <si>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</si>
  <si>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</si>
  <si>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</si>
  <si>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</si>
  <si>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</si>
  <si>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</si>
  <si>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</si>
  <si>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</si>
  <si>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</si>
  <si>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</si>
  <si>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</si>
  <si>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</si>
  <si>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</si>
  <si>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</si>
  <si>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</si>
  <si>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</si>
  <si>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</si>
  <si>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</si>
  <si>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</si>
  <si>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</si>
  <si>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</si>
  <si>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</si>
  <si>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</si>
  <si>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</si>
  <si>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</si>
  <si>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</si>
  <si>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</si>
  <si>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</si>
  <si>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</si>
  <si>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</si>
  <si>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</si>
  <si>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</si>
  <si>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</si>
  <si>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</si>
  <si>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</si>
  <si>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</si>
  <si>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</si>
  <si>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</si>
  <si>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</si>
  <si>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</si>
  <si>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</si>
  <si>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</si>
  <si>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</si>
  <si>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</si>
  <si>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</si>
  <si>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</si>
  <si>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</si>
  <si>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</si>
  <si>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</si>
  <si>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</si>
  <si>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</si>
  <si>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</si>
  <si>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</si>
  <si>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</si>
  <si>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</si>
  <si>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</si>
  <si>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</si>
  <si>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</si>
  <si>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</si>
  <si>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</si>
  <si>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</si>
  <si>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</si>
  <si>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</si>
  <si>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</si>
  <si>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</si>
  <si>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</si>
  <si>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</si>
  <si>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</si>
  <si>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</si>
  <si>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</si>
  <si>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</si>
  <si>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</si>
  <si>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</si>
  <si>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</si>
  <si>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</si>
  <si>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</si>
  <si>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</si>
  <si>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</si>
  <si>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</si>
  <si>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</si>
  <si>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</si>
  <si>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</si>
  <si>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</si>
  <si>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</si>
  <si>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</si>
  <si>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</si>
  <si>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</si>
  <si>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</si>
  <si>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</si>
  <si>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</si>
  <si>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</si>
  <si>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</si>
  <si>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</si>
  <si>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</si>
  <si>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</si>
  <si>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</si>
  <si>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</si>
  <si>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</si>
  <si>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</si>
  <si>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</si>
  <si>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</si>
  <si>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</si>
  <si>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</si>
  <si>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</si>
  <si>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</si>
  <si>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</si>
  <si>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</si>
  <si>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</si>
  <si>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</si>
  <si>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</si>
  <si>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</si>
  <si>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</si>
  <si>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</si>
  <si>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</si>
  <si>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</si>
  <si>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</si>
  <si>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</si>
  <si>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</si>
  <si>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</si>
  <si>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</si>
  <si>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</si>
  <si>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</si>
  <si>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</si>
  <si>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</si>
  <si>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</si>
  <si>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</si>
  <si>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</si>
  <si>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</si>
  <si>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</si>
  <si>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</si>
  <si>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</si>
  <si>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</si>
  <si>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</si>
  <si>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</si>
  <si>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</si>
  <si>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</si>
  <si>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</si>
  <si>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</si>
  <si>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</si>
  <si>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</si>
  <si>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</si>
  <si>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</si>
  <si>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</si>
  <si>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</si>
  <si>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</si>
  <si>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</si>
  <si>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</si>
  <si>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</si>
  <si>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</si>
  <si>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</si>
  <si>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</si>
  <si>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</si>
  <si>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</si>
  <si>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</si>
  <si>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</si>
  <si>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</si>
  <si>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</si>
  <si>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</si>
  <si>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</si>
  <si>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</si>
  <si>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</si>
  <si>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</si>
  <si>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</si>
  <si>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</si>
  <si>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</si>
  <si>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</si>
  <si>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</si>
  <si>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</si>
  <si>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</si>
  <si>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</si>
  <si>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</si>
  <si>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</si>
  <si>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</si>
  <si>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</si>
  <si>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</si>
  <si>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</si>
  <si>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</si>
  <si>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</si>
  <si>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</si>
  <si>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</si>
  <si>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</si>
  <si>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</si>
  <si>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</si>
  <si>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</si>
  <si>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</si>
  <si>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</si>
  <si>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</si>
  <si>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</si>
  <si>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</si>
  <si>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</si>
  <si>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</si>
  <si>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</si>
  <si>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</si>
  <si>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</si>
  <si>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</si>
  <si>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</si>
  <si>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</si>
  <si>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</si>
  <si>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</si>
  <si>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</si>
  <si>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</si>
  <si>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</si>
  <si>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</si>
  <si>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</si>
  <si>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</si>
  <si>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</si>
  <si>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</si>
  <si>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</si>
  <si>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</si>
  <si>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</si>
  <si>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</si>
  <si>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</si>
  <si>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</si>
  <si>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</si>
  <si>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</si>
  <si>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</si>
  <si>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</si>
  <si>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</si>
  <si>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</si>
  <si>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</si>
  <si>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</si>
  <si>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</si>
  <si>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</si>
  <si>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</si>
  <si>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</si>
  <si>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</si>
  <si>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</si>
  <si>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</si>
  <si>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</si>
  <si>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</si>
  <si>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</si>
  <si>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</si>
  <si>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</si>
  <si>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</si>
  <si>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</si>
  <si>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</si>
  <si>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</si>
  <si>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</si>
  <si>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</si>
  <si>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</si>
  <si>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</si>
  <si>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</si>
  <si>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</si>
  <si>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</si>
  <si>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</si>
  <si>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</si>
  <si>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</si>
  <si>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</si>
  <si>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</si>
  <si>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</si>
  <si>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</si>
  <si>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</si>
  <si>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</si>
  <si>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</si>
  <si>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</si>
  <si>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</si>
  <si>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</si>
  <si>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</si>
  <si>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</si>
  <si>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</si>
  <si>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</si>
  <si>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</si>
  <si>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</si>
  <si>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</si>
  <si>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</si>
  <si>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</si>
  <si>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</si>
  <si>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</si>
  <si>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</si>
  <si>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</si>
  <si>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</si>
  <si>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</si>
  <si>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</si>
  <si>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</si>
  <si>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</si>
  <si>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</si>
  <si>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</si>
  <si>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</si>
  <si>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</si>
  <si>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</si>
  <si>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</si>
  <si>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</si>
  <si>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</si>
  <si>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</si>
  <si>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</si>
  <si>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</si>
  <si>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</si>
  <si>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</si>
  <si>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</si>
  <si>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</si>
  <si>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</si>
  <si>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</si>
  <si>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</si>
  <si>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</si>
  <si>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</si>
  <si>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</si>
  <si>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</si>
  <si>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</si>
  <si>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</si>
  <si>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</si>
  <si>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</si>
  <si>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</si>
  <si>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</si>
  <si>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</si>
  <si>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</si>
  <si>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</si>
  <si>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</si>
  <si>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</si>
  <si>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</si>
  <si>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</si>
  <si>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</si>
  <si>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</si>
  <si>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</si>
  <si>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</si>
  <si>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</si>
  <si>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</si>
  <si>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</si>
  <si>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</si>
  <si>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</si>
  <si>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</si>
  <si>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</si>
  <si>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</si>
  <si>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</si>
  <si>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</si>
  <si>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</si>
  <si>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</si>
  <si>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</si>
  <si>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</si>
  <si>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</si>
  <si>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</si>
  <si>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</si>
  <si>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</si>
  <si>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</si>
  <si>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</si>
  <si>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</si>
  <si>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</si>
  <si>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</si>
  <si>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</si>
  <si>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</si>
  <si>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</si>
  <si>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</si>
  <si>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</si>
  <si>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</si>
  <si>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</si>
  <si>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</si>
  <si>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</si>
  <si>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</si>
  <si>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</si>
  <si>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</si>
  <si>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</si>
  <si>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</si>
  <si>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</si>
  <si>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</si>
  <si>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</si>
  <si>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</si>
  <si>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</si>
  <si>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</si>
  <si>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</si>
  <si>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</si>
  <si>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</si>
  <si>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</si>
  <si>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</si>
  <si>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</si>
  <si>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</si>
  <si>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</si>
  <si>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</si>
  <si>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</si>
  <si>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</si>
  <si>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</si>
  <si>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</si>
  <si>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</si>
  <si>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</si>
  <si>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</si>
  <si>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</si>
  <si>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</si>
  <si>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</si>
  <si>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</si>
  <si>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</si>
  <si>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</si>
  <si>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</si>
  <si>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</si>
  <si>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</si>
  <si>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</si>
  <si>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</si>
  <si>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</si>
  <si>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</si>
  <si>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</si>
  <si>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</si>
  <si>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</si>
  <si>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</si>
  <si>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</si>
  <si>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</si>
  <si>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</si>
  <si>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</si>
  <si>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</si>
  <si>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</si>
  <si>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</si>
  <si>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</si>
  <si>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</si>
  <si>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</si>
  <si>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</si>
  <si>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</si>
  <si>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</si>
  <si>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</si>
  <si>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</si>
  <si>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</si>
  <si>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</si>
  <si>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</si>
  <si>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</si>
  <si>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</si>
  <si>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</si>
  <si>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</si>
  <si>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</si>
  <si>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</si>
  <si>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</si>
  <si>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</si>
  <si>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</si>
  <si>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</si>
  <si>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</si>
  <si>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</si>
  <si>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</si>
  <si>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</si>
  <si>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</si>
  <si>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</si>
  <si>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</si>
  <si>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</si>
  <si>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</si>
  <si>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</si>
  <si>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</si>
  <si>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</si>
  <si>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</si>
  <si>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</si>
  <si>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</si>
  <si>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</si>
  <si>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</si>
  <si>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</si>
  <si>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</si>
  <si>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</si>
  <si>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</si>
  <si>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</si>
  <si>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</si>
  <si>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</si>
  <si>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</si>
  <si>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</si>
  <si>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</si>
  <si>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</si>
  <si>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</si>
  <si>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</si>
  <si>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</si>
  <si>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</si>
  <si>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</si>
  <si>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</si>
  <si>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</si>
  <si>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</si>
  <si>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</si>
  <si>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</si>
  <si>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</si>
  <si>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</si>
  <si>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</si>
  <si>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</si>
  <si>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</si>
  <si>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</si>
  <si>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</si>
  <si>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</si>
  <si>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</si>
  <si>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</si>
  <si>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</si>
  <si>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</si>
  <si>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</si>
  <si>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</si>
  <si>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</si>
  <si>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</si>
  <si>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</si>
  <si>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</si>
  <si>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</si>
  <si>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</si>
  <si>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</si>
  <si>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</si>
  <si>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</si>
  <si>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</si>
  <si>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</si>
  <si>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</si>
  <si>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</si>
  <si>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</si>
  <si>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</si>
  <si>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</si>
  <si>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</si>
  <si>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</si>
  <si>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</si>
  <si>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</si>
  <si>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</si>
  <si>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</si>
  <si>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</si>
  <si>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</si>
  <si>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</si>
  <si>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</si>
  <si>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</si>
  <si>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</si>
  <si>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</si>
  <si>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</si>
  <si>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</si>
  <si>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</si>
  <si>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</si>
  <si>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</si>
  <si>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</si>
  <si>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</si>
  <si>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</si>
  <si>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</si>
  <si>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</si>
  <si>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</si>
  <si>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</si>
  <si>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</si>
  <si>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</si>
  <si>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</si>
  <si>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</si>
  <si>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</si>
  <si>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</si>
  <si>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</si>
  <si>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</si>
  <si>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</si>
  <si>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</si>
  <si>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</si>
  <si>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</si>
  <si>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</si>
  <si>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</si>
  <si>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</si>
  <si>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</si>
  <si>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</si>
  <si>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</si>
  <si>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</si>
  <si>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</si>
  <si>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</si>
  <si>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</si>
  <si>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</si>
  <si>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</si>
  <si>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</si>
  <si>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</si>
  <si>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</si>
  <si>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</si>
  <si>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</si>
  <si>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</si>
  <si>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</si>
  <si>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</si>
  <si>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</si>
  <si>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</si>
  <si>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</si>
  <si>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</si>
  <si>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</si>
  <si>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</si>
  <si>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</si>
  <si>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</si>
  <si>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</si>
  <si>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</si>
  <si>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</si>
  <si>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</si>
  <si>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</si>
  <si>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</si>
  <si>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</si>
  <si>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</si>
  <si>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</si>
  <si>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</si>
  <si>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</si>
  <si>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</si>
  <si>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</si>
  <si>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</si>
  <si>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</si>
  <si>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</si>
  <si>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</si>
  <si>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</si>
  <si>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</si>
  <si>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</si>
  <si>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</si>
  <si>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</si>
  <si>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</si>
  <si>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</si>
  <si>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</si>
  <si>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</si>
  <si>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</si>
  <si>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</si>
  <si>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</si>
  <si>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</si>
  <si>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</si>
  <si>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</si>
  <si>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</si>
  <si>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</si>
  <si>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</si>
  <si>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</si>
  <si>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</si>
  <si>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</si>
  <si>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</si>
  <si>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</si>
  <si>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</si>
  <si>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</si>
  <si>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</si>
  <si>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</si>
  <si>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</si>
  <si>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</si>
  <si>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</si>
  <si>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</si>
  <si>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</si>
  <si>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</si>
  <si>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</si>
  <si>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</si>
  <si>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</si>
  <si>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</si>
  <si>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</si>
  <si>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</si>
  <si>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</si>
  <si>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</si>
  <si>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</si>
  <si>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</si>
  <si>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</si>
  <si>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</si>
  <si>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</si>
  <si>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</si>
  <si>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</si>
  <si>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</si>
  <si>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</si>
  <si>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</si>
  <si>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</si>
  <si>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</si>
  <si>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</si>
  <si>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</si>
  <si>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</si>
  <si>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</si>
  <si>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</si>
  <si>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</si>
  <si>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</si>
  <si>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</si>
  <si>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</si>
  <si>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</si>
  <si>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</si>
  <si>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</si>
  <si>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</si>
  <si>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</si>
  <si>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</si>
  <si>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</si>
  <si>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</si>
  <si>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</si>
  <si>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</si>
  <si>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</si>
  <si>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</si>
  <si>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</si>
  <si>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</si>
  <si>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</si>
  <si>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</si>
  <si>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</si>
  <si>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</si>
  <si>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</si>
  <si>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</si>
  <si>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</si>
  <si>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</si>
  <si>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</si>
  <si>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</si>
  <si>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</si>
  <si>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</si>
  <si>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</si>
  <si>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</si>
  <si>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</si>
  <si>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</si>
  <si>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</si>
  <si>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</si>
  <si>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</si>
  <si>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</si>
  <si>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</si>
  <si>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</si>
  <si>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</si>
  <si>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</si>
  <si>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</si>
  <si>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</si>
  <si>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</si>
  <si>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</si>
  <si>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</si>
  <si>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</si>
  <si>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</si>
  <si>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</si>
  <si>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</si>
  <si>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</si>
  <si>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</si>
  <si>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</si>
  <si>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</si>
  <si>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</si>
  <si>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</si>
  <si>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</si>
  <si>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</si>
  <si>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</si>
  <si>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</si>
  <si>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</si>
  <si>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</si>
  <si>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</si>
  <si>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</si>
  <si>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</si>
  <si>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</si>
  <si>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</si>
  <si>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</si>
  <si>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</si>
  <si>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</si>
  <si>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</si>
  <si>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</si>
  <si>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</si>
  <si>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</si>
  <si>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</si>
  <si>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</si>
  <si>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</si>
  <si>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</si>
  <si>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</si>
  <si>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</si>
  <si>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</si>
  <si>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</si>
  <si>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</si>
  <si>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</si>
  <si>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</si>
  <si>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</si>
  <si>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</si>
  <si>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</si>
  <si>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</si>
  <si>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</si>
  <si>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</si>
  <si>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</si>
  <si>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</si>
  <si>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</si>
  <si>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</si>
  <si>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</si>
  <si>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</si>
  <si>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</si>
  <si>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</si>
  <si>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</si>
  <si>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</si>
  <si>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</si>
  <si>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</si>
  <si>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</si>
  <si>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</si>
  <si>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</si>
  <si>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</si>
  <si>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</si>
  <si>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</si>
  <si>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</si>
  <si>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</si>
  <si>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</si>
  <si>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</si>
  <si>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</si>
  <si>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</si>
  <si>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</si>
  <si>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</si>
  <si>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</si>
  <si>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</si>
  <si>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</si>
  <si>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</si>
  <si>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</si>
  <si>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</si>
  <si>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</si>
  <si>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</si>
  <si>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</si>
  <si>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</si>
  <si>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</si>
  <si>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</si>
  <si>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</si>
  <si>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</si>
  <si>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</si>
  <si>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</si>
  <si>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</si>
  <si>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</si>
  <si>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</si>
  <si>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</si>
  <si>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</si>
  <si>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</si>
  <si>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</si>
  <si>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</si>
  <si>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</si>
  <si>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</si>
  <si>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</si>
  <si>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</si>
  <si>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</si>
  <si>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</si>
  <si>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</si>
  <si>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</si>
  <si>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</si>
  <si>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</si>
  <si>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</si>
  <si>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</si>
  <si>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</si>
  <si>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</si>
  <si>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</si>
  <si>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</si>
  <si>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</si>
  <si>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</si>
  <si>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</si>
  <si>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</si>
  <si>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</si>
  <si>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</si>
  <si>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</si>
  <si>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</si>
  <si>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</si>
  <si>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</si>
  <si>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</si>
  <si>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</si>
  <si>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</si>
  <si>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</si>
  <si>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</si>
  <si>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</si>
  <si>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</si>
  <si>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</si>
  <si>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</si>
  <si>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</si>
  <si>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</si>
  <si>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</si>
  <si>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</si>
  <si>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</si>
  <si>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</si>
  <si>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</si>
  <si>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</si>
  <si>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</si>
  <si>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</si>
  <si>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</si>
  <si>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</si>
  <si>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</si>
  <si>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</si>
  <si>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</si>
  <si>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</si>
  <si>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</si>
  <si>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</si>
  <si>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</si>
  <si>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</si>
  <si>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</si>
  <si>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</si>
  <si>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</si>
  <si>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</si>
  <si>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</si>
  <si>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</si>
  <si>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</si>
  <si>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</si>
  <si>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</si>
  <si>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</si>
  <si>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</si>
  <si>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</si>
  <si>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</si>
  <si>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</si>
  <si>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</si>
  <si>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</si>
  <si>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</si>
  <si>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</si>
  <si>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</si>
  <si>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</si>
  <si>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</si>
  <si>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</si>
  <si>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</si>
  <si>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</si>
  <si>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</si>
  <si>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</si>
  <si>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</si>
  <si>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</si>
  <si>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</si>
  <si>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</si>
  <si>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</si>
  <si>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</si>
  <si>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</si>
  <si>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</si>
  <si>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</si>
  <si>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</si>
  <si>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</si>
  <si>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</si>
  <si>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</si>
  <si>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</si>
  <si>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</si>
  <si>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</si>
  <si>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</si>
  <si>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</si>
  <si>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</si>
  <si>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</si>
  <si>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</si>
  <si>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</si>
  <si>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</si>
  <si>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</si>
  <si>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</si>
  <si>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</si>
  <si>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</si>
  <si>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</si>
  <si>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</si>
  <si>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</si>
  <si>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</si>
  <si>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</si>
  <si>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</si>
  <si>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</si>
  <si>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</si>
  <si>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</si>
  <si>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</si>
  <si>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</si>
  <si>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</si>
  <si>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</si>
  <si>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</si>
  <si>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</si>
  <si>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</si>
  <si>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</si>
  <si>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</si>
  <si>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</si>
  <si>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</si>
  <si>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</si>
  <si>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</si>
  <si>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</si>
  <si>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</si>
  <si>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</si>
  <si>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</si>
  <si>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</si>
  <si>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</si>
  <si>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</si>
  <si>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</si>
  <si>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</si>
  <si>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</si>
  <si>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</si>
  <si>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</si>
  <si>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</si>
  <si>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</si>
  <si>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</si>
  <si>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</si>
  <si>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</si>
  <si>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</si>
  <si>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</si>
  <si>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</si>
  <si>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</si>
  <si>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</si>
  <si>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</si>
  <si>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</si>
  <si>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</si>
  <si>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</si>
  <si>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</si>
  <si>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</si>
  <si>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</si>
  <si>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</si>
  <si>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</si>
  <si>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</si>
  <si>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</si>
  <si>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</si>
  <si>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</si>
  <si>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</si>
  <si>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</si>
  <si>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</si>
  <si>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</si>
  <si>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</si>
  <si>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</si>
  <si>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</si>
  <si>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</si>
  <si>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</si>
  <si>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</si>
  <si>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</si>
  <si>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</si>
  <si>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</si>
  <si>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</si>
  <si>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</si>
  <si>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</si>
  <si>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</si>
  <si>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</si>
  <si>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</si>
  <si>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</si>
  <si>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</si>
  <si>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</si>
  <si>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</si>
  <si>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</si>
  <si>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</si>
  <si>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</si>
  <si>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</si>
  <si>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</si>
  <si>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</si>
  <si>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</si>
  <si>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</si>
  <si>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</si>
  <si>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</si>
  <si>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</si>
  <si>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</si>
  <si>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</si>
  <si>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</si>
  <si>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</si>
  <si>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</si>
  <si>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</si>
  <si>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</si>
  <si>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</si>
  <si>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</si>
  <si>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</si>
  <si>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</si>
  <si>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</si>
  <si>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</si>
  <si>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</si>
  <si>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</si>
  <si>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</si>
  <si>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</si>
  <si>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</si>
  <si>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</si>
  <si>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</si>
  <si>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</si>
  <si>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</si>
  <si>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</si>
  <si>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</si>
  <si>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</si>
  <si>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</si>
  <si>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</si>
  <si>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</si>
  <si>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</si>
  <si>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</si>
  <si>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</si>
  <si>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</si>
  <si>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</si>
  <si>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</si>
  <si>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</si>
  <si>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</si>
  <si>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</si>
  <si>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</si>
  <si>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</si>
  <si>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</si>
  <si>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</si>
  <si>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</si>
  <si>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</si>
  <si>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</si>
  <si>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</si>
  <si>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</si>
  <si>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</si>
  <si>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</si>
  <si>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</si>
  <si>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</si>
  <si>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</si>
  <si>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</si>
  <si>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</si>
  <si>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</si>
  <si>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</si>
  <si>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</si>
  <si>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</si>
  <si>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</si>
  <si>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</si>
  <si>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</si>
  <si>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</si>
  <si>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</si>
  <si>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</si>
  <si>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</si>
  <si>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</si>
  <si>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</si>
  <si>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</si>
  <si>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</si>
  <si>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</si>
  <si>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</si>
  <si>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</si>
  <si>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</si>
  <si>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</si>
  <si>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</si>
  <si>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</si>
  <si>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</si>
  <si>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</si>
  <si>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</si>
  <si>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</si>
  <si>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</si>
  <si>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</si>
  <si>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</si>
  <si>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</si>
  <si>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</si>
  <si>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</si>
  <si>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</si>
  <si>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</si>
  <si>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</si>
  <si>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</si>
  <si>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</si>
  <si>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</si>
  <si>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</si>
  <si>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</si>
  <si>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</si>
  <si>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</si>
  <si>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</si>
  <si>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</si>
  <si>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</si>
  <si>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</si>
  <si>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</si>
  <si>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</si>
  <si>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</si>
  <si>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</si>
  <si>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</si>
  <si>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</si>
  <si>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</si>
  <si>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</si>
  <si>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</si>
  <si>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</si>
  <si>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</si>
  <si>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</si>
  <si>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</si>
  <si>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</si>
  <si>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</si>
  <si>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</si>
  <si>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</si>
  <si>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</si>
  <si>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</si>
  <si>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</si>
  <si>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</si>
  <si>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</si>
  <si>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</si>
  <si>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</si>
  <si>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</si>
  <si>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</si>
  <si>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</si>
  <si>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</si>
  <si>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</si>
  <si>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</si>
  <si>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</si>
  <si>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</si>
  <si>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</si>
  <si>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</si>
  <si>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</si>
  <si>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</si>
  <si>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</si>
  <si>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</si>
  <si>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</si>
  <si>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</si>
  <si>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</si>
  <si>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</si>
  <si>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</si>
  <si>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</si>
  <si>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</si>
  <si>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</si>
  <si>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</si>
  <si>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</si>
  <si>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</si>
  <si>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</si>
  <si>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</si>
  <si>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</si>
  <si>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</si>
  <si>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</si>
  <si>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</si>
  <si>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</si>
  <si>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</si>
  <si>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</si>
  <si>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</si>
  <si>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</si>
  <si>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</si>
  <si>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</si>
  <si>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</si>
  <si>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</si>
  <si>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</si>
  <si>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</si>
  <si>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</si>
  <si>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</si>
  <si>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</si>
  <si>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</si>
  <si>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</si>
  <si>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</si>
  <si>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</si>
  <si>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</si>
  <si>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</si>
  <si>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</si>
  <si>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</si>
  <si>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</si>
  <si>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</si>
  <si>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</si>
  <si>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</si>
  <si>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</si>
  <si>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</si>
  <si>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</si>
  <si>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</si>
  <si>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</si>
  <si>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</si>
  <si>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</si>
  <si>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</si>
  <si>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</si>
  <si>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</si>
  <si>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</si>
  <si>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</si>
  <si>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</si>
  <si>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</si>
  <si>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</si>
  <si>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</si>
  <si>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</si>
  <si>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</si>
  <si>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</si>
  <si>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</si>
  <si>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</si>
  <si>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</si>
  <si>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</si>
  <si>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</si>
  <si>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</si>
  <si>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</si>
  <si>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</si>
  <si>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</si>
  <si>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</si>
  <si>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</si>
  <si>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</si>
  <si>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</si>
  <si>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</si>
  <si>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</si>
  <si>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</si>
  <si>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</si>
  <si>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</si>
  <si>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</si>
  <si>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</si>
  <si>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</si>
  <si>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</si>
  <si>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</si>
  <si>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</si>
  <si>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</si>
  <si>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</si>
  <si>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</si>
  <si>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</si>
  <si>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</si>
  <si>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</si>
  <si>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</si>
  <si>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</si>
  <si>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</si>
  <si>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</si>
  <si>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</si>
  <si>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</si>
  <si>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</si>
  <si>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</si>
  <si>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</si>
  <si>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</si>
  <si>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</si>
  <si>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</si>
  <si>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</si>
  <si>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</si>
  <si>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</si>
  <si>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</si>
  <si>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</si>
  <si>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</si>
  <si>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</si>
  <si>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</si>
  <si>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</si>
  <si>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</si>
  <si>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</si>
  <si>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</si>
  <si>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</si>
  <si>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</si>
  <si>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</si>
  <si>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</si>
  <si>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</si>
  <si>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</si>
  <si>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</si>
  <si>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</si>
  <si>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</si>
  <si>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</si>
  <si>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</si>
  <si>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</si>
  <si>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</si>
  <si>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</si>
  <si>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</si>
  <si>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</si>
  <si>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</si>
  <si>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</si>
  <si>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</si>
  <si>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</si>
  <si>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</si>
  <si>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</si>
  <si>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</si>
  <si>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</si>
  <si>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</si>
  <si>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</si>
  <si>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</si>
  <si>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</si>
  <si>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</si>
  <si>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</si>
  <si>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</si>
  <si>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</si>
  <si>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</si>
  <si>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</si>
  <si>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</si>
  <si>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</si>
  <si>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</si>
  <si>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</si>
  <si>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</si>
  <si>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</si>
  <si>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</si>
  <si>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</si>
  <si>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</si>
  <si>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</si>
  <si>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</si>
  <si>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</si>
  <si>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</si>
  <si>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</si>
  <si>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</si>
  <si>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</si>
  <si>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</si>
  <si>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</si>
  <si>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</si>
  <si>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</si>
  <si>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</si>
  <si>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</si>
  <si>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</si>
  <si>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</si>
  <si>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</si>
  <si>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</si>
  <si>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</si>
  <si>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</si>
  <si>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</si>
  <si>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</si>
  <si>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</si>
  <si>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</si>
  <si>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</si>
  <si>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</si>
  <si>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</si>
  <si>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</si>
  <si>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</si>
  <si>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</si>
  <si>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</si>
  <si>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</si>
  <si>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</si>
  <si>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</si>
  <si>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</si>
  <si>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</si>
  <si>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</si>
  <si>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</si>
  <si>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</si>
  <si>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</si>
  <si>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</si>
  <si>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</si>
  <si>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</si>
  <si>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</si>
  <si>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</si>
  <si>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</si>
  <si>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</si>
  <si>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</si>
  <si>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</si>
  <si>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</si>
  <si>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</si>
  <si>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</si>
  <si>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</si>
  <si>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</si>
  <si>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</si>
  <si>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</si>
  <si>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</si>
  <si>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</si>
  <si>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</si>
  <si>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</si>
  <si>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</si>
  <si>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</si>
  <si>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</si>
  <si>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</si>
  <si>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</si>
  <si>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</si>
  <si>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</si>
  <si>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</si>
  <si>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</si>
  <si>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</si>
  <si>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</si>
  <si>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</si>
  <si>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</si>
  <si>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</si>
  <si>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</si>
  <si>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</si>
  <si>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</si>
  <si>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</si>
  <si>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</si>
  <si>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</si>
  <si>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</si>
  <si>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</si>
  <si>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</si>
  <si>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</si>
  <si>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</si>
  <si>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</si>
  <si>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</si>
  <si>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</si>
  <si>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</si>
  <si>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</si>
  <si>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</si>
  <si>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</si>
  <si>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</si>
  <si>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</si>
  <si>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</si>
  <si>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</si>
  <si>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</si>
  <si>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</si>
  <si>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</si>
  <si>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</si>
  <si>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</si>
  <si>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</si>
  <si>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</si>
  <si>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</si>
  <si>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</si>
  <si>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</si>
  <si>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</si>
  <si>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</si>
  <si>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</si>
  <si>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</si>
  <si>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</si>
  <si>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</si>
  <si>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</si>
  <si>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</si>
  <si>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</si>
  <si>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</si>
  <si>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</si>
  <si>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</si>
  <si>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</si>
  <si>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</si>
  <si>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</si>
  <si>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</si>
  <si>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</si>
  <si>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</si>
  <si>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</si>
  <si>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</si>
  <si>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</si>
  <si>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</si>
  <si>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</si>
  <si>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</si>
  <si>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</si>
  <si>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</si>
  <si>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</si>
  <si>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</si>
  <si>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</si>
  <si>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</si>
  <si>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</si>
  <si>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</si>
  <si>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</si>
  <si>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</si>
  <si>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</si>
  <si>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</si>
  <si>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</si>
  <si>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</si>
  <si>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</si>
  <si>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</si>
  <si>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</si>
  <si>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</si>
  <si>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</si>
  <si>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</si>
  <si>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</si>
  <si>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</si>
  <si>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</si>
  <si>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</si>
  <si>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</si>
  <si>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</si>
  <si>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</si>
  <si>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</si>
  <si>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</si>
  <si>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</si>
  <si>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</si>
  <si>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</si>
  <si>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</si>
  <si>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</si>
  <si>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</si>
  <si>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</si>
  <si>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</si>
  <si>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</si>
  <si>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</si>
  <si>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</si>
  <si>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</si>
  <si>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</si>
  <si>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</si>
  <si>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</si>
  <si>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</si>
  <si>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</si>
  <si>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</si>
  <si>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</si>
  <si>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</si>
  <si>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</si>
  <si>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</si>
  <si>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</si>
  <si>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</si>
  <si>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</si>
  <si>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</si>
  <si>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</si>
  <si>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</si>
  <si>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</si>
  <si>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</si>
  <si>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</si>
  <si>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</si>
  <si>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</si>
  <si>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</si>
  <si>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</si>
  <si>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</si>
  <si>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</si>
  <si>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</si>
  <si>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</si>
  <si>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</si>
  <si>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</si>
  <si>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</si>
  <si>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</si>
  <si>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</si>
  <si>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</si>
  <si>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</si>
  <si>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</si>
  <si>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</si>
  <si>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</si>
  <si>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</si>
  <si>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</si>
  <si>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</si>
  <si>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</si>
  <si>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</si>
  <si>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</si>
  <si>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</si>
  <si>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</si>
  <si>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</si>
  <si>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</si>
  <si>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</si>
  <si>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</si>
  <si>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</si>
  <si>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</si>
  <si>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</si>
  <si>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</si>
  <si>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</si>
  <si>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</si>
  <si>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</si>
  <si>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</si>
  <si>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</si>
  <si>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</si>
  <si>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</si>
  <si>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</si>
  <si>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</si>
  <si>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</si>
  <si>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</si>
  <si>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</si>
  <si>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</si>
  <si>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</si>
  <si>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</si>
  <si>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</si>
  <si>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</si>
  <si>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</si>
  <si>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</si>
  <si>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</si>
  <si>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</si>
  <si>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</si>
  <si>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</si>
  <si>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</si>
  <si>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</si>
  <si>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</si>
  <si>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</si>
  <si>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</si>
  <si>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</si>
  <si>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</si>
  <si>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</si>
  <si>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</si>
  <si>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</si>
  <si>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</si>
  <si>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</si>
  <si>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</si>
  <si>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</si>
  <si>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</si>
  <si>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</si>
  <si>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</si>
  <si>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</si>
  <si>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</si>
  <si>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</si>
  <si>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</si>
  <si>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</si>
  <si>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</si>
  <si>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</si>
  <si>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</si>
  <si>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</si>
  <si>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</si>
  <si>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</si>
  <si>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</si>
  <si>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</si>
  <si>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</si>
  <si>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</si>
  <si>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</si>
  <si>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</si>
  <si>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</si>
  <si>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</si>
  <si>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</si>
  <si>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</si>
  <si>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</si>
  <si>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</si>
  <si>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</si>
  <si>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</si>
  <si>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</si>
  <si>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</si>
  <si>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</si>
  <si>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</si>
  <si>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</si>
  <si>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</si>
  <si>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</si>
  <si>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</si>
  <si>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</si>
  <si>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</si>
  <si>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</si>
  <si>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</si>
  <si>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</si>
  <si>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</si>
  <si>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</si>
  <si>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</si>
  <si>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</si>
  <si>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</si>
  <si>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</si>
  <si>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</si>
  <si>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</si>
  <si>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</si>
  <si>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</si>
  <si>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</si>
  <si>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</si>
  <si>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</si>
  <si>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</si>
  <si>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</si>
  <si>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</si>
  <si>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</si>
  <si>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</si>
  <si>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</si>
  <si>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</si>
  <si>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</si>
  <si>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</si>
  <si>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</si>
  <si>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</si>
  <si>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</si>
  <si>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</si>
  <si>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</si>
  <si>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</si>
  <si>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</si>
  <si>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</si>
  <si>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</si>
  <si>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</si>
  <si>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</si>
  <si>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</si>
  <si>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</si>
  <si>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</si>
  <si>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</si>
  <si>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</si>
  <si>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</si>
  <si>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</si>
  <si>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</si>
  <si>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</si>
  <si>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</si>
  <si>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</si>
  <si>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</si>
  <si>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</si>
  <si>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</si>
  <si>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</si>
  <si>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</si>
  <si>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</si>
  <si>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</si>
  <si>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</si>
  <si>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</si>
  <si>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</si>
  <si>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</si>
  <si>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</si>
  <si>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</si>
  <si>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</si>
  <si>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</si>
  <si>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</si>
  <si>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</si>
  <si>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</si>
  <si>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</si>
  <si>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</si>
  <si>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</si>
  <si>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</si>
  <si>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</si>
  <si>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</si>
  <si>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</si>
  <si>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</si>
  <si>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</si>
  <si>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</si>
  <si>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</si>
  <si>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</si>
  <si>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</si>
  <si>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</si>
  <si>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</si>
  <si>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</si>
  <si>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</si>
  <si>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</si>
  <si>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</si>
  <si>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</si>
  <si>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</si>
  <si>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</si>
  <si>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</si>
  <si>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</si>
  <si>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</si>
  <si>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</si>
  <si>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</si>
  <si>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</si>
  <si>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</si>
  <si>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</si>
  <si>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</si>
  <si>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</si>
  <si>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</si>
  <si>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</si>
  <si>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</si>
  <si>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</si>
  <si>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</si>
  <si>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</si>
  <si>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</si>
  <si>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</si>
  <si>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</si>
  <si>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</si>
  <si>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</si>
  <si>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</si>
  <si>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</si>
  <si>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</si>
  <si>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</si>
  <si>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</si>
  <si>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</si>
  <si>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</si>
  <si>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</si>
  <si>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</si>
  <si>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</si>
  <si>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</si>
  <si>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</si>
  <si>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</si>
  <si>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</si>
  <si>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</si>
  <si>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</si>
  <si>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</si>
  <si>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</si>
  <si>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</si>
  <si>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</si>
  <si>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</si>
  <si>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</si>
  <si>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</si>
  <si>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</si>
  <si>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</si>
  <si>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</si>
  <si>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</si>
  <si>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</si>
  <si>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</si>
  <si>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</si>
  <si>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</si>
  <si>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</si>
  <si>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</si>
  <si>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</si>
  <si>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</si>
  <si>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</si>
  <si>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</si>
  <si>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</si>
  <si>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</si>
  <si>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</si>
  <si>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</si>
  <si>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</si>
  <si>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</si>
  <si>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</si>
  <si>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</si>
  <si>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</si>
  <si>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</si>
  <si>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</si>
  <si>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</si>
  <si>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</si>
  <si>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</si>
  <si>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</si>
  <si>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</si>
  <si>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</si>
  <si>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</si>
  <si>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</si>
  <si>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</si>
  <si>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</si>
  <si>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</si>
  <si>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</si>
  <si>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</si>
  <si>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</si>
  <si>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</si>
  <si>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</si>
  <si>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</si>
  <si>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</si>
  <si>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</si>
  <si>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</si>
  <si>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</si>
  <si>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</si>
  <si>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</si>
  <si>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</si>
  <si>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</si>
  <si>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</si>
  <si>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</si>
  <si>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</si>
  <si>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</si>
  <si>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</si>
  <si>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</si>
  <si>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</si>
  <si>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</si>
  <si>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</si>
  <si>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</si>
  <si>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</si>
  <si>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</si>
  <si>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</si>
  <si>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</si>
  <si>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</si>
  <si>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</si>
  <si>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</si>
  <si>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</si>
  <si>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</si>
  <si>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</si>
  <si>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</si>
  <si>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</si>
  <si>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</si>
  <si>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</si>
  <si>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</si>
  <si>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</si>
  <si>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</si>
  <si>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</si>
  <si>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</si>
  <si>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</si>
  <si>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</si>
  <si>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</si>
  <si>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</si>
  <si>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</si>
  <si>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</si>
  <si>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</si>
  <si>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</si>
  <si>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</si>
  <si>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</si>
  <si>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</si>
  <si>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</si>
  <si>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</si>
  <si>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</si>
  <si>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</si>
  <si>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</si>
  <si>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</si>
  <si>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</si>
  <si>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</si>
  <si>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</si>
  <si>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</si>
  <si>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</si>
  <si>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</si>
  <si>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</si>
  <si>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</si>
  <si>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</si>
  <si>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</si>
  <si>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</si>
  <si>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</si>
  <si>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</si>
  <si>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</si>
  <si>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</si>
  <si>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</si>
  <si>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</si>
  <si>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</si>
  <si>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</si>
  <si>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</si>
  <si>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</si>
  <si>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</si>
  <si>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</si>
  <si>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</si>
  <si>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</si>
  <si>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</si>
  <si>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</si>
  <si>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</si>
  <si>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</si>
  <si>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</si>
  <si>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</si>
  <si>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</si>
  <si>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</si>
  <si>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</si>
  <si>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</si>
  <si>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</si>
  <si>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</si>
  <si>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</si>
  <si>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</si>
  <si>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</si>
  <si>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</si>
  <si>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</si>
  <si>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</si>
  <si>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</si>
  <si>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</si>
  <si>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</si>
  <si>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</si>
  <si>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</si>
  <si>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</si>
  <si>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</si>
  <si>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</si>
  <si>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</si>
  <si>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</si>
  <si>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</si>
  <si>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</si>
  <si>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</si>
  <si>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</si>
  <si>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</si>
  <si>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</si>
  <si>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</si>
  <si>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</si>
  <si>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</si>
  <si>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</si>
  <si>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</si>
  <si>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</si>
  <si>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</si>
  <si>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</si>
  <si>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</si>
  <si>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</si>
  <si>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</si>
  <si>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</si>
  <si>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</si>
  <si>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</si>
  <si>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</si>
  <si>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</si>
  <si>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</si>
  <si>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</si>
  <si>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</si>
  <si>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</si>
  <si>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</si>
  <si>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</si>
  <si>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</si>
  <si>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</si>
  <si>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</si>
  <si>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</si>
  <si>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</si>
  <si>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</si>
  <si>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</si>
  <si>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</si>
  <si>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</si>
  <si>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</si>
  <si>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</si>
  <si>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</si>
  <si>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</si>
  <si>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</si>
  <si>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</si>
  <si>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</si>
  <si>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</si>
  <si>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</si>
  <si>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</si>
  <si>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</si>
  <si>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</si>
  <si>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</si>
  <si>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</si>
  <si>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</si>
  <si>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</si>
  <si>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</si>
  <si>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</si>
  <si>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</si>
  <si>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</si>
  <si>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</si>
  <si>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</si>
  <si>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</si>
  <si>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</si>
  <si>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</si>
  <si>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</si>
  <si>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</si>
  <si>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</si>
  <si>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</si>
  <si>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</si>
  <si>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</si>
  <si>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</si>
  <si>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</si>
  <si>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</si>
  <si>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</si>
  <si>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</si>
  <si>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</si>
  <si>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</si>
  <si>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</si>
  <si>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</si>
  <si>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</si>
  <si>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</si>
  <si>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</si>
  <si>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</si>
  <si>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</si>
  <si>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</si>
  <si>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</si>
  <si>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</si>
  <si>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</si>
  <si>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</si>
  <si>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</si>
  <si>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</si>
  <si>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</si>
  <si>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</si>
  <si>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</si>
  <si>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</si>
  <si>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</si>
  <si>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</si>
  <si>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</si>
  <si>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</si>
  <si>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</si>
  <si>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</si>
  <si>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</si>
  <si>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</si>
  <si>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</si>
  <si>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</si>
  <si>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</si>
  <si>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</si>
  <si>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</si>
  <si>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</si>
  <si>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</si>
  <si>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</si>
  <si>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</si>
  <si>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</si>
  <si>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</si>
  <si>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</si>
  <si>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</si>
  <si>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</si>
  <si>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</si>
  <si>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</si>
  <si>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</si>
  <si>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</si>
  <si>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</si>
  <si>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</si>
  <si>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</si>
  <si>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</si>
  <si>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</si>
  <si>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</si>
  <si>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</si>
  <si>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</si>
  <si>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</si>
  <si>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</si>
  <si>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</si>
  <si>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</si>
  <si>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</si>
  <si>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</si>
  <si>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</si>
  <si>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</si>
  <si>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</si>
  <si>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</si>
  <si>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</si>
  <si>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</si>
  <si>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</si>
  <si>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</si>
  <si>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</si>
  <si>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</si>
  <si>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</si>
  <si>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</si>
  <si>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</si>
  <si>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</si>
  <si>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</si>
  <si>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</si>
  <si>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</si>
  <si>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</si>
  <si>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</si>
  <si>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</si>
  <si>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</si>
  <si>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</si>
  <si>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</si>
  <si>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</si>
  <si>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</si>
  <si>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</si>
  <si>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</si>
  <si>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</si>
  <si>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</si>
  <si>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</si>
  <si>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</si>
  <si>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</si>
  <si>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</si>
  <si>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</si>
  <si>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</si>
  <si>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</si>
  <si>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</si>
  <si>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</si>
  <si>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</si>
  <si>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</si>
  <si>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</si>
  <si>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</si>
  <si>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</si>
  <si>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</si>
  <si>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</si>
  <si>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</si>
  <si>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</si>
  <si>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</si>
  <si>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</si>
  <si>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</si>
  <si>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</si>
  <si>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</si>
  <si>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</si>
  <si>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</si>
  <si>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</si>
  <si>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</si>
  <si>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</si>
  <si>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</si>
  <si>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</si>
  <si>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</si>
  <si>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</si>
  <si>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</si>
  <si>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</si>
  <si>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</si>
  <si>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</si>
  <si>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</si>
  <si>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</si>
  <si>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</si>
  <si>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</si>
  <si>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</si>
  <si>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</si>
  <si>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</si>
  <si>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</si>
  <si>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</si>
  <si>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</si>
  <si>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</si>
  <si>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</si>
  <si>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</si>
  <si>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</si>
  <si>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</si>
  <si>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</si>
  <si>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</si>
  <si>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</si>
  <si>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</si>
  <si>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</si>
  <si>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</si>
  <si>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</si>
  <si>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</si>
  <si>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</si>
  <si>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</si>
  <si>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</si>
  <si>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</si>
  <si>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</si>
  <si>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</si>
  <si>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</si>
  <si>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</si>
  <si>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</si>
  <si>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</si>
  <si>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</si>
  <si>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</si>
  <si>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</si>
  <si>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</si>
  <si>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</si>
  <si>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</si>
  <si>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</si>
  <si>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</si>
  <si>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</si>
  <si>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</si>
  <si>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</si>
  <si>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</si>
  <si>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</si>
  <si>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</si>
  <si>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</si>
  <si>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</si>
  <si>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</si>
  <si>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</si>
  <si>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</si>
  <si>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</si>
  <si>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</si>
  <si>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</si>
  <si>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</si>
  <si>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</si>
  <si>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</si>
  <si>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</si>
  <si>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</si>
  <si>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</si>
  <si>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</si>
  <si>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</si>
  <si>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</si>
  <si>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</si>
  <si>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</si>
  <si>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</si>
  <si>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</si>
  <si>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</si>
  <si>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</si>
  <si>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</si>
  <si>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</si>
  <si>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</si>
  <si>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</si>
  <si>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</si>
  <si>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</si>
  <si>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</si>
  <si>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</si>
  <si>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</si>
  <si>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</si>
  <si>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</si>
  <si>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</si>
  <si>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</si>
  <si>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</si>
  <si>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</si>
  <si>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</si>
  <si>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</si>
  <si>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</si>
  <si>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</si>
  <si>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</si>
  <si>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</si>
  <si>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</si>
  <si>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</si>
  <si>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</si>
  <si>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</si>
  <si>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</si>
  <si>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</si>
  <si>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</si>
  <si>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</si>
  <si>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</si>
  <si>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</si>
  <si>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</si>
  <si>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</si>
  <si>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</si>
  <si>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</si>
  <si>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</si>
  <si>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</si>
  <si>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</si>
  <si>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</si>
  <si>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</si>
  <si>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</si>
  <si>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</si>
  <si>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</si>
  <si>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</si>
  <si>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</si>
  <si>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</si>
  <si>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</si>
  <si>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</si>
  <si>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</si>
  <si>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</si>
  <si>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</si>
  <si>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</si>
  <si>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</si>
  <si>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</si>
  <si>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</si>
  <si>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</si>
  <si>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</si>
  <si>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</si>
  <si>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</si>
  <si>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</si>
  <si>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</si>
  <si>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</si>
  <si>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</si>
  <si>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</si>
  <si>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</si>
  <si>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</si>
  <si>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</si>
  <si>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</si>
  <si>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</si>
  <si>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</si>
  <si>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</si>
  <si>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</si>
  <si>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</si>
  <si>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</si>
  <si>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</si>
  <si>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</si>
  <si>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</si>
  <si>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</si>
  <si>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</si>
  <si>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</si>
  <si>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</si>
  <si>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</si>
  <si>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</si>
  <si>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</si>
  <si>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</si>
  <si>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</si>
  <si>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</si>
  <si>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</si>
  <si>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</si>
  <si>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</si>
  <si>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</si>
  <si>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</si>
  <si>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</si>
  <si>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</si>
  <si>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</si>
  <si>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</si>
  <si>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</si>
  <si>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</si>
  <si>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</si>
  <si>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</si>
  <si>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</si>
  <si>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</si>
  <si>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</si>
  <si>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</si>
  <si>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</si>
  <si>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</si>
  <si>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</si>
  <si>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</si>
  <si>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</si>
  <si>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</si>
  <si>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</si>
  <si>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</si>
  <si>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</si>
  <si>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</si>
  <si>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</si>
  <si>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</si>
  <si>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</si>
  <si>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</si>
  <si>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</si>
  <si>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</si>
  <si>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</si>
  <si>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</si>
  <si>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</si>
  <si>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</si>
  <si>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</si>
  <si>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</si>
  <si>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</si>
  <si>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</si>
  <si>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</si>
  <si>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</si>
  <si>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</si>
  <si>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</si>
  <si>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</si>
  <si>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</si>
  <si>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</si>
  <si>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</si>
  <si>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</si>
  <si>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</si>
  <si>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</si>
  <si>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</si>
  <si>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</si>
  <si>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</si>
  <si>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</si>
  <si>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</si>
  <si>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</si>
  <si>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</si>
  <si>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</si>
  <si>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</si>
  <si>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</si>
  <si>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</si>
  <si>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</si>
  <si>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</si>
  <si>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</si>
  <si>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</si>
  <si>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</si>
  <si>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</si>
  <si>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</si>
  <si>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</si>
  <si>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</si>
  <si>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</si>
  <si>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</si>
  <si>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</si>
  <si>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</si>
  <si>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</si>
  <si>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</si>
  <si>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</si>
  <si>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</si>
  <si>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</si>
  <si>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</si>
  <si>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</si>
  <si>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</si>
  <si>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</si>
  <si>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</si>
  <si>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</si>
  <si>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</si>
  <si>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</si>
  <si>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</si>
  <si>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</si>
  <si>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</si>
  <si>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</si>
  <si>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</si>
  <si>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</si>
  <si>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</si>
  <si>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</si>
  <si>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</si>
  <si>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</si>
  <si>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</si>
  <si>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</si>
  <si>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</si>
  <si>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</si>
  <si>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</si>
  <si>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</si>
  <si>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</si>
  <si>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</si>
  <si>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</si>
  <si>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</si>
  <si>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</si>
  <si>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</si>
  <si>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</si>
  <si>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</si>
  <si>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</si>
  <si>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</si>
  <si>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</si>
  <si>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</si>
  <si>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</si>
  <si>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</si>
  <si>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</si>
  <si>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</si>
  <si>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</si>
  <si>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</si>
  <si>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</si>
  <si>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</si>
  <si>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</si>
  <si>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</si>
  <si>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</si>
  <si>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</si>
  <si>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</si>
  <si>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</si>
  <si>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</si>
  <si>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</si>
  <si>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</si>
  <si>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</si>
  <si>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</si>
  <si>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</si>
  <si>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</si>
  <si>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</si>
  <si>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</si>
  <si>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</si>
  <si>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</si>
  <si>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</si>
  <si>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</si>
  <si>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</si>
  <si>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</si>
  <si>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</si>
  <si>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</si>
  <si>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</si>
  <si>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</si>
  <si>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</si>
  <si>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</si>
  <si>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</si>
  <si>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</si>
  <si>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</si>
  <si>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</si>
  <si>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</si>
  <si>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</si>
  <si>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</si>
  <si>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</si>
  <si>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</si>
  <si>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</si>
  <si>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</si>
  <si>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</si>
  <si>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</si>
  <si>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</si>
  <si>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</si>
  <si>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</si>
  <si>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</si>
  <si>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</si>
  <si>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</si>
  <si>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</si>
  <si>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</si>
  <si>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</si>
  <si>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</si>
  <si>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</si>
  <si>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</si>
  <si>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</si>
  <si>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</si>
  <si>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</si>
  <si>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</si>
  <si>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</si>
  <si>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</si>
  <si>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</si>
  <si>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</si>
  <si>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</si>
  <si>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</si>
  <si>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</si>
  <si>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</si>
  <si>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</si>
  <si>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</si>
  <si>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</si>
  <si>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</si>
  <si>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</si>
  <si>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</si>
  <si>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</si>
  <si>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</si>
  <si>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</si>
  <si>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</si>
  <si>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</si>
  <si>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</si>
  <si>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</si>
  <si>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</si>
  <si>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</si>
  <si>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</si>
  <si>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</si>
  <si>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</si>
  <si>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</si>
  <si>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</si>
  <si>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</si>
  <si>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</si>
  <si>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</si>
  <si>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</si>
  <si>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</si>
  <si>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</si>
  <si>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</si>
  <si>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</si>
  <si>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</si>
  <si>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</si>
  <si>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</si>
  <si>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</si>
  <si>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</si>
  <si>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</si>
  <si>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</si>
  <si>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</si>
  <si>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</si>
  <si>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</si>
  <si>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</si>
  <si>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</si>
  <si>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</si>
  <si>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</si>
  <si>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</si>
  <si>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</si>
  <si>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</si>
  <si>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</si>
  <si>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</si>
  <si>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</si>
  <si>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</si>
  <si>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</si>
  <si>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</si>
  <si>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</si>
  <si>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</si>
  <si>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</si>
  <si>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</si>
  <si>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</si>
  <si>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</si>
  <si>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</si>
  <si>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</si>
  <si>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</si>
  <si>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</si>
  <si>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</si>
  <si>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</si>
  <si>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</si>
  <si>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</si>
  <si>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</si>
  <si>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</si>
  <si>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</si>
  <si>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</si>
  <si>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</si>
  <si>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</si>
  <si>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</si>
  <si>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</si>
  <si>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</si>
  <si>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</si>
  <si>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</si>
  <si>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</si>
  <si>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</si>
  <si>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</si>
  <si>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</si>
  <si>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</si>
  <si>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</si>
  <si>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</si>
  <si>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</si>
  <si>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</si>
  <si>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</si>
  <si>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</si>
  <si>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</si>
  <si>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</si>
  <si>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</si>
  <si>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</si>
  <si>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</si>
  <si>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</si>
  <si>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</si>
  <si>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</si>
  <si>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</si>
  <si>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</si>
  <si>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</si>
  <si>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</si>
  <si>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</si>
  <si>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</si>
  <si>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</si>
  <si>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</si>
  <si>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</si>
  <si>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</si>
  <si>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</si>
  <si>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</si>
  <si>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</si>
  <si>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</si>
  <si>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</si>
  <si>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</si>
  <si>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</si>
  <si>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</si>
  <si>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</si>
  <si>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</si>
  <si>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</si>
  <si>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</si>
  <si>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</si>
  <si>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</si>
  <si>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</si>
  <si>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</si>
  <si>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</si>
  <si>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</si>
  <si>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</si>
  <si>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</si>
  <si>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</si>
  <si>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</si>
  <si>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</si>
  <si>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</si>
  <si>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</si>
  <si>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</si>
  <si>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</si>
  <si>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</si>
  <si>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</si>
  <si>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</si>
  <si>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</si>
  <si>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</si>
  <si>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</si>
  <si>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</si>
  <si>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</si>
  <si>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</si>
  <si>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</si>
  <si>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</si>
  <si>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</si>
  <si>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</si>
  <si>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</si>
  <si>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</si>
  <si>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</si>
  <si>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</si>
  <si>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</si>
  <si>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</si>
  <si>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</si>
  <si>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</si>
  <si>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</si>
  <si>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</si>
  <si>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</si>
  <si>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</si>
  <si>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</si>
  <si>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</si>
  <si>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</si>
  <si>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</si>
  <si>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</si>
  <si>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</si>
  <si>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</si>
  <si>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</si>
  <si>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</si>
  <si>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</si>
  <si>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</si>
  <si>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</si>
  <si>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</si>
  <si>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</si>
  <si>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</si>
  <si>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</si>
  <si>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</si>
  <si>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</si>
  <si>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</si>
  <si>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</si>
  <si>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</si>
  <si>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</si>
  <si>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</si>
  <si>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</si>
  <si>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</si>
  <si>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</si>
  <si>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</si>
  <si>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</si>
  <si>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</si>
  <si>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</si>
  <si>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</si>
  <si>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</si>
  <si>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</si>
  <si>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</si>
  <si>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</si>
  <si>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</si>
  <si>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</si>
  <si>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</si>
  <si>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</si>
  <si>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</si>
  <si>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</si>
  <si>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</si>
  <si>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</si>
  <si>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</si>
  <si>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</si>
  <si>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</si>
  <si>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</si>
  <si>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</si>
  <si>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</si>
  <si>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</si>
  <si>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</si>
  <si>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</si>
  <si>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</si>
  <si>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</si>
  <si>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</si>
  <si>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</si>
  <si>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</si>
  <si>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</si>
  <si>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</si>
  <si>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</si>
  <si>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</si>
  <si>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</si>
  <si>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</si>
  <si>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</si>
  <si>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</si>
  <si>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</si>
  <si>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</si>
  <si>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</si>
  <si>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</si>
  <si>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</si>
  <si>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</si>
  <si>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</si>
  <si>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</si>
  <si>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</si>
  <si>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</si>
  <si>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</si>
  <si>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</si>
  <si>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</si>
  <si>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</si>
  <si>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</si>
  <si>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</si>
  <si>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</si>
  <si>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</si>
  <si>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</si>
  <si>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</si>
  <si>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</si>
  <si>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</si>
  <si>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</si>
  <si>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</si>
  <si>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</si>
  <si>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</si>
  <si>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</si>
  <si>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</si>
  <si>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</si>
  <si>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</si>
  <si>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</si>
  <si>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</si>
  <si>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</si>
  <si>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</si>
  <si>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</si>
  <si>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</si>
  <si>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</si>
  <si>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</si>
  <si>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</si>
  <si>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</si>
  <si>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</si>
  <si>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</si>
  <si>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</si>
  <si>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</si>
  <si>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</si>
  <si>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</si>
  <si>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</si>
  <si>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</si>
  <si>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</si>
  <si>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</si>
  <si>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</si>
  <si>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</si>
  <si>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</si>
  <si>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</si>
  <si>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</si>
  <si>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</si>
  <si>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</si>
  <si>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</si>
  <si>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</si>
  <si>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</si>
  <si>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</si>
  <si>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</si>
  <si>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</si>
  <si>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</si>
  <si>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</si>
  <si>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</si>
  <si>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</si>
  <si>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</si>
  <si>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</si>
  <si>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</si>
  <si>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</si>
  <si>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</si>
  <si>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</si>
  <si>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</si>
  <si>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</si>
  <si>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</si>
  <si>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</si>
  <si>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</si>
  <si>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</si>
  <si>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</si>
  <si>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</si>
  <si>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</si>
  <si>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</si>
  <si>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</si>
  <si>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</si>
  <si>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</si>
  <si>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</si>
  <si>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</si>
  <si>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</si>
  <si>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</si>
  <si>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</si>
  <si>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</si>
  <si>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</si>
  <si>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</si>
  <si>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</si>
  <si>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</si>
  <si>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</si>
  <si>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</si>
  <si>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</si>
  <si>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</si>
  <si>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</si>
  <si>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</si>
  <si>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</si>
  <si>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</si>
  <si>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</si>
  <si>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</si>
  <si>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</si>
  <si>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</si>
  <si>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</si>
  <si>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</si>
  <si>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</si>
  <si>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</si>
  <si>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</si>
  <si>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</si>
  <si>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</si>
  <si>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</si>
  <si>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</si>
  <si>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</si>
  <si>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</si>
  <si>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</si>
  <si>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</si>
  <si>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</si>
  <si>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</si>
  <si>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</si>
  <si>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</si>
  <si>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</si>
  <si>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</si>
  <si>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</si>
  <si>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</si>
  <si>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</si>
  <si>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</si>
  <si>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</si>
  <si>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</si>
  <si>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</si>
  <si>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</si>
  <si>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</si>
  <si>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</si>
  <si>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</si>
  <si>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</si>
  <si>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</si>
  <si>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</si>
  <si>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</si>
  <si>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</si>
  <si>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</si>
  <si>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</si>
  <si>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</si>
  <si>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</si>
  <si>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</si>
  <si>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</si>
  <si>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</si>
  <si>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</si>
  <si>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</si>
  <si>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</si>
  <si>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</si>
  <si>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</si>
  <si>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</si>
  <si>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</si>
  <si>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</si>
  <si>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</si>
  <si>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</si>
  <si>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</si>
  <si>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</si>
  <si>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</si>
  <si>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</si>
  <si>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</si>
  <si>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</si>
  <si>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</si>
  <si>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</si>
  <si>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</si>
  <si>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</si>
  <si>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</si>
  <si>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</si>
  <si>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</si>
  <si>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</si>
  <si>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</si>
  <si>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</si>
  <si>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</si>
  <si>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</si>
  <si>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</si>
  <si>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</si>
  <si>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</si>
  <si>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</si>
  <si>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</si>
  <si>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</si>
  <si>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</si>
  <si>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</si>
  <si>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</si>
  <si>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</si>
  <si>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</si>
  <si>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</si>
  <si>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</si>
  <si>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</si>
  <si>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</si>
  <si>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</si>
  <si>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</si>
  <si>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</si>
  <si>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</si>
  <si>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</si>
  <si>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</si>
  <si>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</si>
  <si>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</si>
  <si>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</si>
  <si>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</si>
  <si>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</si>
  <si>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</si>
  <si>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</si>
  <si>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</si>
  <si>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</si>
  <si>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</si>
  <si>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</si>
  <si>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</si>
  <si>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</si>
  <si>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</si>
  <si>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</si>
  <si>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</si>
  <si>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</si>
  <si>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</si>
  <si>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</si>
  <si>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</si>
  <si>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</si>
  <si>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</si>
  <si>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</si>
  <si>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</si>
  <si>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</si>
  <si>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</si>
  <si>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</si>
  <si>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</si>
  <si>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</si>
  <si>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</si>
  <si>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</si>
  <si>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</si>
  <si>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</si>
  <si>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</si>
  <si>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</si>
  <si>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</si>
  <si>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</si>
  <si>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</si>
  <si>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</si>
  <si>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</si>
  <si>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</si>
  <si>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</si>
  <si>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</si>
  <si>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</si>
  <si>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</si>
  <si>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</si>
  <si>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</si>
  <si>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</si>
  <si>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</si>
  <si>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</si>
  <si>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</si>
  <si>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</si>
  <si>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</si>
  <si>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</si>
  <si>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</si>
  <si>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</si>
  <si>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</si>
  <si>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</si>
  <si>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</si>
  <si>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</si>
  <si>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</si>
  <si>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</si>
  <si>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</si>
  <si>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</si>
  <si>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</si>
  <si>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</si>
  <si>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</si>
  <si>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</si>
  <si>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</si>
  <si>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</si>
  <si>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</si>
  <si>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</si>
  <si>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</si>
  <si>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</si>
  <si>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</si>
  <si>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</si>
  <si>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</si>
  <si>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</si>
  <si>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</si>
  <si>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</si>
  <si>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</si>
  <si>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</si>
  <si>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</si>
  <si>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</si>
  <si>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</si>
  <si>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</si>
  <si>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</si>
  <si>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</si>
  <si>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</si>
  <si>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</si>
  <si>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</si>
  <si>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</si>
  <si>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</si>
  <si>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</si>
  <si>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</si>
  <si>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</si>
  <si>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</si>
  <si>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</si>
  <si>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</si>
  <si>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</si>
  <si>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</si>
  <si>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</si>
  <si>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</si>
  <si>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</si>
  <si>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</si>
  <si>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</si>
  <si>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</si>
  <si>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</si>
  <si>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</si>
  <si>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</si>
  <si>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</si>
  <si>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</si>
  <si>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</si>
  <si>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</si>
  <si>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</si>
  <si>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</si>
  <si>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</si>
  <si>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</si>
  <si>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</si>
  <si>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</si>
  <si>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</si>
  <si>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</si>
  <si>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</si>
  <si>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</si>
  <si>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</si>
  <si>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</si>
  <si>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</si>
  <si>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</si>
  <si>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</si>
  <si>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</si>
  <si>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</si>
  <si>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</si>
  <si>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</si>
  <si>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</si>
  <si>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</si>
  <si>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</si>
  <si>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</si>
  <si>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</si>
  <si>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</si>
  <si>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</si>
  <si>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</si>
  <si>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</si>
  <si>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</si>
  <si>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</si>
  <si>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</si>
  <si>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</si>
  <si>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</si>
  <si>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</si>
  <si>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</si>
  <si>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</si>
  <si>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</si>
  <si>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</si>
  <si>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</si>
  <si>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</si>
  <si>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</si>
  <si>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</si>
  <si>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</si>
  <si>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</si>
  <si>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</si>
  <si>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</si>
  <si>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</si>
  <si>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</si>
  <si>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</si>
  <si>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</si>
  <si>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</si>
  <si>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</si>
  <si>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</si>
  <si>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</si>
  <si>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</si>
  <si>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</si>
  <si>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</si>
  <si>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</si>
  <si>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</si>
  <si>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</si>
  <si>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</si>
  <si>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</si>
  <si>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</si>
  <si>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</si>
  <si>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</si>
  <si>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</si>
  <si>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</si>
  <si>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</si>
  <si>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</si>
  <si>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</si>
  <si>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</si>
  <si>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</si>
  <si>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</si>
  <si>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</si>
  <si>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</si>
  <si>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</si>
  <si>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</si>
  <si>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</si>
  <si>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</si>
  <si>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</si>
  <si>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</si>
  <si>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</si>
  <si>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</si>
  <si>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</si>
  <si>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</si>
  <si>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</si>
  <si>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</si>
  <si>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</si>
  <si>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</si>
  <si>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</si>
  <si>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</si>
  <si>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</si>
  <si>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</si>
  <si>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</si>
  <si>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</si>
  <si>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</si>
  <si>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</si>
  <si>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</si>
  <si>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</si>
  <si>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</si>
  <si>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</si>
  <si>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</si>
  <si>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</si>
  <si>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</si>
  <si>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</si>
  <si>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</si>
  <si>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</si>
  <si>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</si>
  <si>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</si>
  <si>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</si>
  <si>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</si>
  <si>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</si>
  <si>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</si>
  <si>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</si>
  <si>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</si>
  <si>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</si>
  <si>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</si>
  <si>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</si>
  <si>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</si>
  <si>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</si>
  <si>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</si>
  <si>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</si>
  <si>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</si>
  <si>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</si>
  <si>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</si>
  <si>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</si>
  <si>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</si>
  <si>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</si>
  <si>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</si>
  <si>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</si>
  <si>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</si>
  <si>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</si>
  <si>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</si>
  <si>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</si>
  <si>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</si>
  <si>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</si>
  <si>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</si>
  <si>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</si>
  <si>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</si>
  <si>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</si>
  <si>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</si>
  <si>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</si>
  <si>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</si>
  <si>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</si>
  <si>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</si>
  <si>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</si>
  <si>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</si>
  <si>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</si>
  <si>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</si>
  <si>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</si>
  <si>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</si>
  <si>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</si>
  <si>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</si>
  <si>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</si>
  <si>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</si>
  <si>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</si>
  <si>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</si>
  <si>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</si>
  <si>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</si>
  <si>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</si>
  <si>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</si>
  <si>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</si>
  <si>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</si>
  <si>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</si>
  <si>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</si>
  <si>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</si>
  <si>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</si>
  <si>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</si>
  <si>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</si>
  <si>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</si>
  <si>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</si>
  <si>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</si>
  <si>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</si>
  <si>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</si>
  <si>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</si>
  <si>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</si>
  <si>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</si>
  <si>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</si>
  <si>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</si>
  <si>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</si>
  <si>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</si>
  <si>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</si>
  <si>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</si>
  <si>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</si>
  <si>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</si>
  <si>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</si>
  <si>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</si>
  <si>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</si>
  <si>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</si>
  <si>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</si>
  <si>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</si>
  <si>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</si>
  <si>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</si>
  <si>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</si>
  <si>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</si>
  <si>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</si>
  <si>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</si>
  <si>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</si>
  <si>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</si>
  <si>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</si>
  <si>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</si>
  <si>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</si>
  <si>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</si>
  <si>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</si>
  <si>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</si>
  <si>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</si>
  <si>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</si>
  <si>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</si>
  <si>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</si>
  <si>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</si>
  <si>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</si>
  <si>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</si>
  <si>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</si>
  <si>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</si>
  <si>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</si>
  <si>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</si>
  <si>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</si>
  <si>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</si>
  <si>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</si>
  <si>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</si>
  <si>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</si>
  <si>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</si>
  <si>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</si>
  <si>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</si>
  <si>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</si>
  <si>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</si>
  <si>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</si>
  <si>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</si>
  <si>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</si>
  <si>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</si>
  <si>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</si>
  <si>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</si>
  <si>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</si>
  <si>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</si>
  <si>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</si>
  <si>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</si>
  <si>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</si>
  <si>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</si>
  <si>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</si>
  <si>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</si>
  <si>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</si>
  <si>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</si>
  <si>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</si>
  <si>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</si>
  <si>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</si>
  <si>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</si>
  <si>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</si>
  <si>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</si>
  <si>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</si>
  <si>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</si>
  <si>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</si>
  <si>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</si>
  <si>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</si>
  <si>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</si>
  <si>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</si>
  <si>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</si>
  <si>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</si>
  <si>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</si>
  <si>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</si>
  <si>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</si>
  <si>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</si>
  <si>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</si>
  <si>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</si>
  <si>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</si>
  <si>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</si>
  <si>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</si>
  <si>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</si>
  <si>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</si>
  <si>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</si>
  <si>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</si>
  <si>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</si>
  <si>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</si>
  <si>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</si>
  <si>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</si>
  <si>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</si>
  <si>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</si>
  <si>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</si>
  <si>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</si>
  <si>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</si>
  <si>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</si>
  <si>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</si>
  <si>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</si>
  <si>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</si>
  <si>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</si>
  <si>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</si>
  <si>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</si>
  <si>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</si>
  <si>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</si>
  <si>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</si>
  <si>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</si>
  <si>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</si>
  <si>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</si>
  <si>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</si>
  <si>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</si>
  <si>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</si>
  <si>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</si>
  <si>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</si>
  <si>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</si>
  <si>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</si>
  <si>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</si>
  <si>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</si>
  <si>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</si>
  <si>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</si>
  <si>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</si>
  <si>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</si>
  <si>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</si>
  <si>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</si>
  <si>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</si>
  <si>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</si>
  <si>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</si>
  <si>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</si>
  <si>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</si>
  <si>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</si>
  <si>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</si>
  <si>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</si>
  <si>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</si>
  <si>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</si>
  <si>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</si>
  <si>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</si>
  <si>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</si>
  <si>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</si>
  <si>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</si>
  <si>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</si>
  <si>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</si>
  <si>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</si>
  <si>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</si>
  <si>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</si>
  <si>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</si>
  <si>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</si>
  <si>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</si>
  <si>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</si>
  <si>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</si>
  <si>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</si>
  <si>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</si>
  <si>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</si>
  <si>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</si>
  <si>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</si>
  <si>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</si>
  <si>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</si>
  <si>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</si>
  <si>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</si>
  <si>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</si>
  <si>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</si>
  <si>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</si>
  <si>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</si>
  <si>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</si>
  <si>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</si>
  <si>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</si>
  <si>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</si>
  <si>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</si>
  <si>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</si>
  <si>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</si>
  <si>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</si>
  <si>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</si>
  <si>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</si>
  <si>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</si>
  <si>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</si>
  <si>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</si>
  <si>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</si>
  <si>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</si>
  <si>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</si>
  <si>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</si>
  <si>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</si>
  <si>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</si>
  <si>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</si>
  <si>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</si>
  <si>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</si>
  <si>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</si>
  <si>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</si>
  <si>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</si>
  <si>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</si>
  <si>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</si>
  <si>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</si>
  <si>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</si>
  <si>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</si>
  <si>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</si>
  <si>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</si>
  <si>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</si>
  <si>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</si>
  <si>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</si>
  <si>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</si>
  <si>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</si>
  <si>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</si>
  <si>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</si>
  <si>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</si>
  <si>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</si>
  <si>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</si>
  <si>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</si>
  <si>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</si>
  <si>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</si>
  <si>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</si>
  <si>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</si>
  <si>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</si>
  <si>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</si>
  <si>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</si>
  <si>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</si>
  <si>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</si>
  <si>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</si>
  <si>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</si>
  <si>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</si>
  <si>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</si>
  <si>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</si>
  <si>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</si>
  <si>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</si>
  <si>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</si>
  <si>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</si>
  <si>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</si>
  <si>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</si>
  <si>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</si>
  <si>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</si>
  <si>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</si>
  <si>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</si>
  <si>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</si>
  <si>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</si>
  <si>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</si>
  <si>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</si>
  <si>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</si>
  <si>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</si>
  <si>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</si>
  <si>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</si>
  <si>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</si>
  <si>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</si>
  <si>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</si>
  <si>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</si>
  <si>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</si>
  <si>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</si>
  <si>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</si>
  <si>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</si>
  <si>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</si>
  <si>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</si>
  <si>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</si>
  <si>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</si>
  <si>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</si>
  <si>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</si>
  <si>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</si>
  <si>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</si>
  <si>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</si>
  <si>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</si>
  <si>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</si>
  <si>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</si>
  <si>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</si>
  <si>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</si>
  <si>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</si>
  <si>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</si>
  <si>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</si>
  <si>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</si>
  <si>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</si>
  <si>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</si>
  <si>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</si>
  <si>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</si>
  <si>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</si>
  <si>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</si>
  <si>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</si>
  <si>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</si>
  <si>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</si>
  <si>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</si>
  <si>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</si>
  <si>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</si>
  <si>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</si>
  <si>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</si>
  <si>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</si>
  <si>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</si>
  <si>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</si>
  <si>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</si>
  <si>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</si>
  <si>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</si>
  <si>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</si>
  <si>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</si>
  <si>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</si>
  <si>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</si>
  <si>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</si>
  <si>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</si>
  <si>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</si>
  <si>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</si>
  <si>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</si>
  <si>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</si>
  <si>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</si>
  <si>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</si>
  <si>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</si>
  <si>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</si>
  <si>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</si>
  <si>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</si>
  <si>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</si>
  <si>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</si>
  <si>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</si>
  <si>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</si>
  <si>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</si>
  <si>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</si>
  <si>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</si>
  <si>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</si>
  <si>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</si>
  <si>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</si>
  <si>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</si>
  <si>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</si>
  <si>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</si>
  <si>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</si>
  <si>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</si>
  <si>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</si>
  <si>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</si>
  <si>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</si>
  <si>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</si>
  <si>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</si>
  <si>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</si>
  <si>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</si>
  <si>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</si>
  <si>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</si>
  <si>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</si>
  <si>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</si>
  <si>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</si>
  <si>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</si>
  <si>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</si>
  <si>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</si>
  <si>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</si>
  <si>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</si>
  <si>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</si>
  <si>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</si>
  <si>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</si>
  <si>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</si>
  <si>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</si>
  <si>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</si>
  <si>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</si>
  <si>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</si>
  <si>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</si>
  <si>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</si>
  <si>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</si>
  <si>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</si>
  <si>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</si>
  <si>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</si>
  <si>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</si>
  <si>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</si>
  <si>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</si>
  <si>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</si>
  <si>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</si>
  <si>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</si>
  <si>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</si>
  <si>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</si>
  <si>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</si>
  <si>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</si>
  <si>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</si>
  <si>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</si>
  <si>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</si>
  <si>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</si>
  <si>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</si>
  <si>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</si>
  <si>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</si>
  <si>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</si>
  <si>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</si>
  <si>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</si>
  <si>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</si>
  <si>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</si>
  <si>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</si>
  <si>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</si>
  <si>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</si>
  <si>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</si>
  <si>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</si>
  <si>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</si>
  <si>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</si>
  <si>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</si>
  <si>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</si>
  <si>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</si>
  <si>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</si>
  <si>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</si>
  <si>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</si>
  <si>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</si>
  <si>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</si>
  <si>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</si>
  <si>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</si>
  <si>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</si>
  <si>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</si>
  <si>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</si>
  <si>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</si>
  <si>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</si>
  <si>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</si>
  <si>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</si>
  <si>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</si>
  <si>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</si>
  <si>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</si>
  <si>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</si>
  <si>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</si>
  <si>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</si>
  <si>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</si>
  <si>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</si>
  <si>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</si>
  <si>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</si>
  <si>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</si>
  <si>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</si>
  <si>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</si>
  <si>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</si>
  <si>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</si>
  <si>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</si>
  <si>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</si>
  <si>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</si>
  <si>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</si>
  <si>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</si>
  <si>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</si>
  <si>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</si>
  <si>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</si>
  <si>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</si>
  <si>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</si>
  <si>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</si>
  <si>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</si>
  <si>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</si>
  <si>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</si>
  <si>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</si>
  <si>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</si>
  <si>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</si>
  <si>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</si>
  <si>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</si>
  <si>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</si>
  <si>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</si>
  <si>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</si>
  <si>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</si>
  <si>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</si>
  <si>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</si>
  <si>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</si>
  <si>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</si>
  <si>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</si>
  <si>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</si>
  <si>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</si>
  <si>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</si>
  <si>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</si>
  <si>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</si>
  <si>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</si>
  <si>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</si>
  <si>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</si>
  <si>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</si>
  <si>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</si>
  <si>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</si>
  <si>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</si>
  <si>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</si>
  <si>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</si>
  <si>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</si>
  <si>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</si>
  <si>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</si>
  <si>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</si>
  <si>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</si>
  <si>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</si>
  <si>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</si>
  <si>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</si>
  <si>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</si>
  <si>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</si>
  <si>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</si>
  <si>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</si>
  <si>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</si>
  <si>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</si>
  <si>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</si>
  <si>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</si>
  <si>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</si>
  <si>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</si>
  <si>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</si>
  <si>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</si>
  <si>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</si>
  <si>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</si>
  <si>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</si>
  <si>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</si>
  <si>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</si>
  <si>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</si>
  <si>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</si>
  <si>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</si>
  <si>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</si>
  <si>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</si>
  <si>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</si>
  <si>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</si>
  <si>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</si>
  <si>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</si>
  <si>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</si>
  <si>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</si>
  <si>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</si>
  <si>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</si>
  <si>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</si>
  <si>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</si>
  <si>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</si>
  <si>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</si>
  <si>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</si>
  <si>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</si>
  <si>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</si>
  <si>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</si>
  <si>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</si>
  <si>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</si>
  <si>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</si>
  <si>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</si>
  <si>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</si>
  <si>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</si>
  <si>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</si>
  <si>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</si>
  <si>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</si>
  <si>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</si>
  <si>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</si>
  <si>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</si>
  <si>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</si>
  <si>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</si>
  <si>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</si>
  <si>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</si>
  <si>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</si>
  <si>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</si>
  <si>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</si>
  <si>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</si>
  <si>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</si>
  <si>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</si>
  <si>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</si>
  <si>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</si>
  <si>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</si>
  <si>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</si>
  <si>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</si>
  <si>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</si>
  <si>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</si>
  <si>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</si>
  <si>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</si>
  <si>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</si>
  <si>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</si>
  <si>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</si>
  <si>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</si>
  <si>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</si>
  <si>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</si>
  <si>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</si>
  <si>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</si>
  <si>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</si>
  <si>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</si>
  <si>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</si>
  <si>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</si>
  <si>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</si>
  <si>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</si>
  <si>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</si>
  <si>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</si>
  <si>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</si>
  <si>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</si>
  <si>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</si>
  <si>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</si>
  <si>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</si>
  <si>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</si>
  <si>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</si>
  <si>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</si>
  <si>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</si>
  <si>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</si>
  <si>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</si>
  <si>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</si>
  <si>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</si>
  <si>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</si>
  <si>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</si>
  <si>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</si>
  <si>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</si>
  <si>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</si>
  <si>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</si>
  <si>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</si>
  <si>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</si>
  <si>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</si>
  <si>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</si>
  <si>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</si>
  <si>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</si>
  <si>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</si>
  <si>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</si>
  <si>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</si>
  <si>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</si>
  <si>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</si>
  <si>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</si>
  <si>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</si>
  <si>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</si>
  <si>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</si>
  <si>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</si>
  <si>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</si>
  <si>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</si>
  <si>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</si>
  <si>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</si>
  <si>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</si>
  <si>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</si>
  <si>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</si>
  <si>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</si>
  <si>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</si>
  <si>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</si>
  <si>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</si>
  <si>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</si>
  <si>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</si>
  <si>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</si>
  <si>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</si>
  <si>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</si>
  <si>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</si>
  <si>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</si>
  <si>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</si>
  <si>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</si>
  <si>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</si>
  <si>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</si>
  <si>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</si>
  <si>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</si>
  <si>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</si>
  <si>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</si>
  <si>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</si>
  <si>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</si>
  <si>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</si>
  <si>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</si>
  <si>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</si>
  <si>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</si>
  <si>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</si>
  <si>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</si>
  <si>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</si>
  <si>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</si>
  <si>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</si>
  <si>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</si>
  <si>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</si>
  <si>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</si>
  <si>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</si>
  <si>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</si>
  <si>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</si>
  <si>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</si>
  <si>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</si>
  <si>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</si>
  <si>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</si>
  <si>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</si>
  <si>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</si>
  <si>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</si>
  <si>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</si>
  <si>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</si>
  <si>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</si>
  <si>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</si>
  <si>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</si>
  <si>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</si>
  <si>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</si>
  <si>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</si>
  <si>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</si>
  <si>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</si>
  <si>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</si>
  <si>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</si>
  <si>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</si>
  <si>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</si>
  <si>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</si>
  <si>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</si>
  <si>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</si>
  <si>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</si>
  <si>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</si>
  <si>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</si>
  <si>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</si>
  <si>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</si>
  <si>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</si>
  <si>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</si>
  <si>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</si>
  <si>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</si>
  <si>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</si>
  <si>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</si>
  <si>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</si>
  <si>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</si>
  <si>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</si>
  <si>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</si>
  <si>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</si>
  <si>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</si>
  <si>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</si>
  <si>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</si>
  <si>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</si>
  <si>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</si>
  <si>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</si>
  <si>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</si>
  <si>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</si>
  <si>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</si>
  <si>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</si>
  <si>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</si>
  <si>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</si>
  <si>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</si>
  <si>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</si>
  <si>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</si>
  <si>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</si>
  <si>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</si>
  <si>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</si>
  <si>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</si>
  <si>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</si>
  <si>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</si>
  <si>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</si>
  <si>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</si>
  <si>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</si>
  <si>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</si>
  <si>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</si>
  <si>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</si>
  <si>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</si>
  <si>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</si>
  <si>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</si>
  <si>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</si>
  <si>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</si>
  <si>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</si>
  <si>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</si>
  <si>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</si>
  <si>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</si>
  <si>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</si>
  <si>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</si>
  <si>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</si>
  <si>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</si>
  <si>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</si>
  <si>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</si>
  <si>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</si>
  <si>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</si>
  <si>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</si>
  <si>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</si>
  <si>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</si>
  <si>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</si>
  <si>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</si>
  <si>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</si>
  <si>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</si>
  <si>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</si>
  <si>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</si>
  <si>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</si>
  <si>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</si>
  <si>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</si>
  <si>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</si>
  <si>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</si>
  <si>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</si>
  <si>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</si>
  <si>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</si>
  <si>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</si>
  <si>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</si>
  <si>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</si>
  <si>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</si>
  <si>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</si>
  <si>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</si>
  <si>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</si>
  <si>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</si>
  <si>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</si>
  <si>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</si>
  <si>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</si>
  <si>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</si>
  <si>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</si>
  <si>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</si>
  <si>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</si>
  <si>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</si>
  <si>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</si>
  <si>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</si>
  <si>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</si>
  <si>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</si>
  <si>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</si>
  <si>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</si>
  <si>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</si>
  <si>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</si>
  <si>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</si>
  <si>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</si>
  <si>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</si>
  <si>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</si>
  <si>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</si>
  <si>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</si>
  <si>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</si>
  <si>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</si>
  <si>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</si>
  <si>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</si>
  <si>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</si>
  <si>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</si>
  <si>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</si>
  <si>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</si>
  <si>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</si>
  <si>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</si>
  <si>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</si>
  <si>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</si>
  <si>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</si>
  <si>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</si>
  <si>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</si>
  <si>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</si>
  <si>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</si>
  <si>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</si>
  <si>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</si>
  <si>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</si>
  <si>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</si>
  <si>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</si>
  <si>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</si>
  <si>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</si>
  <si>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</si>
  <si>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</si>
  <si>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</si>
  <si>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</si>
  <si>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</si>
  <si>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</si>
  <si>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</si>
  <si>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</si>
  <si>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</si>
  <si>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</si>
  <si>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</si>
  <si>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</si>
  <si>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</si>
  <si>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</si>
  <si>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</si>
  <si>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</si>
  <si>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</si>
  <si>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</si>
  <si>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</si>
  <si>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</si>
  <si>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</si>
  <si>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</si>
  <si>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</si>
  <si>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</si>
  <si>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</si>
  <si>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</si>
  <si>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</si>
  <si>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</si>
  <si>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</si>
  <si>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</si>
  <si>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</si>
  <si>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</si>
  <si>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</si>
  <si>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</si>
  <si>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</si>
  <si>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</si>
  <si>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</si>
  <si>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</si>
  <si>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</si>
  <si>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</si>
  <si>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</si>
  <si>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</si>
  <si>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</si>
  <si>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</si>
  <si>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</si>
  <si>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</si>
  <si>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</si>
  <si>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</si>
  <si>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</si>
  <si>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</si>
  <si>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</si>
  <si>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</si>
  <si>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</si>
  <si>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</si>
  <si>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</si>
  <si>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</si>
  <si>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</si>
  <si>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</si>
  <si>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</si>
  <si>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</si>
  <si>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</si>
  <si>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</si>
  <si>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</si>
  <si>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</si>
  <si>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</si>
  <si>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</si>
  <si>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</si>
  <si>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</si>
  <si>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</si>
  <si>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</si>
  <si>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</si>
  <si>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</si>
  <si>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</si>
  <si>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</si>
  <si>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</si>
  <si>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</si>
  <si>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</si>
  <si>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</si>
  <si>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</si>
  <si>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</si>
  <si>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</si>
  <si>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</si>
  <si>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</si>
  <si>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</si>
  <si>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</si>
  <si>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</si>
  <si>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</si>
  <si>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</si>
  <si>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</si>
  <si>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</si>
  <si>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</si>
  <si>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</si>
  <si>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</si>
  <si>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</si>
  <si>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</si>
  <si>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</si>
  <si>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</si>
  <si>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</si>
  <si>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</si>
  <si>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</si>
  <si>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</si>
  <si>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</si>
  <si>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</si>
  <si>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</si>
  <si>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</si>
  <si>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</si>
  <si>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</si>
  <si>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</si>
  <si>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</si>
  <si>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</si>
  <si>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</si>
  <si>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</si>
  <si>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</si>
  <si>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</si>
  <si>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</si>
  <si>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</si>
  <si>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</si>
  <si>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</si>
  <si>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</si>
  <si>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</si>
  <si>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</si>
  <si>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</si>
  <si>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</si>
  <si>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</si>
  <si>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</si>
  <si>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</si>
  <si>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</si>
  <si>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</si>
  <si>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</si>
  <si>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</si>
  <si>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</si>
  <si>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</si>
  <si>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</si>
  <si>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</si>
  <si>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</si>
  <si>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</si>
  <si>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</si>
  <si>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</si>
  <si>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</si>
  <si>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</si>
  <si>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</si>
  <si>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</si>
  <si>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</si>
  <si>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</si>
  <si>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</si>
  <si>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</si>
  <si>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</si>
  <si>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</si>
  <si>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</si>
  <si>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</si>
  <si>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</si>
  <si>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</si>
  <si>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</si>
  <si>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</si>
  <si>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</si>
  <si>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</si>
  <si>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</si>
  <si>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</si>
  <si>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</si>
  <si>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</si>
  <si>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</si>
  <si>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</si>
  <si>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</si>
  <si>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</si>
  <si>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</si>
  <si>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</si>
  <si>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</si>
  <si>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</si>
  <si>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</si>
  <si>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</si>
  <si>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</si>
  <si>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</si>
  <si>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</si>
  <si>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</si>
  <si>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</si>
  <si>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</si>
  <si>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</si>
  <si>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</si>
  <si>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</si>
  <si>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</si>
  <si>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</si>
  <si>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</si>
  <si>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</si>
  <si>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</si>
  <si>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</si>
  <si>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</si>
  <si>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</si>
  <si>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</si>
  <si>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</si>
  <si>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</si>
  <si>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</si>
  <si>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</si>
  <si>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</si>
  <si>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</si>
  <si>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</si>
  <si>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</si>
  <si>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</si>
  <si>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</si>
  <si>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</si>
  <si>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</si>
  <si>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</si>
  <si>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</si>
  <si>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</si>
  <si>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</si>
  <si>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</si>
  <si>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</si>
  <si>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</si>
  <si>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</si>
  <si>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</si>
  <si>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</si>
  <si>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</si>
  <si>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</si>
  <si>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</si>
  <si>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</si>
  <si>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</si>
  <si>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</si>
  <si>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</si>
  <si>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</si>
  <si>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</si>
  <si>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</si>
  <si>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</si>
  <si>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</si>
  <si>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</si>
  <si>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</si>
  <si>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</si>
  <si>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</si>
  <si>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</si>
  <si>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</si>
  <si>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</si>
  <si>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</si>
  <si>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</si>
  <si>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</si>
  <si>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</si>
  <si>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</si>
  <si>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</si>
  <si>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</si>
  <si>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</si>
  <si>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</si>
  <si>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</si>
  <si>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</si>
  <si>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</si>
  <si>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</si>
  <si>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</si>
  <si>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</si>
  <si>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</si>
  <si>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</si>
  <si>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</si>
  <si>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</si>
  <si>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</si>
  <si>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</si>
  <si>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</si>
  <si>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</si>
  <si>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</si>
  <si>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</si>
  <si>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</si>
  <si>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</si>
  <si>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</si>
  <si>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</si>
  <si>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</si>
  <si>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</si>
  <si>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</si>
  <si>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</si>
  <si>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</si>
  <si>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</si>
  <si>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</si>
  <si>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</si>
  <si>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</si>
  <si>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</si>
  <si>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</si>
  <si>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</si>
  <si>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</si>
  <si>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</si>
  <si>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</si>
  <si>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</si>
  <si>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</si>
  <si>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</si>
  <si>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</si>
  <si>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</si>
  <si>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</si>
  <si>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</si>
  <si>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</si>
  <si>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</si>
  <si>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</si>
  <si>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</si>
  <si>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</si>
  <si>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</si>
  <si>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</si>
  <si>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</si>
  <si>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</si>
  <si>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</si>
  <si>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</si>
  <si>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</si>
  <si>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</si>
  <si>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</si>
  <si>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</si>
  <si>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</si>
  <si>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</si>
  <si>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</si>
  <si>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</si>
  <si>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</si>
  <si>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</si>
  <si>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</si>
  <si>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</si>
  <si>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</si>
  <si>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</si>
  <si>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</si>
  <si>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</si>
  <si>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</si>
  <si>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</si>
  <si>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</si>
  <si>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</si>
  <si>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</si>
  <si>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</si>
  <si>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</si>
  <si>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</si>
  <si>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</si>
  <si>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</si>
  <si>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</si>
  <si>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</si>
  <si>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</si>
  <si>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</si>
  <si>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</si>
  <si>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</si>
  <si>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</si>
  <si>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</si>
  <si>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</si>
  <si>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</si>
  <si>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</si>
  <si>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</si>
  <si>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</si>
  <si>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</si>
  <si>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</si>
  <si>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</si>
  <si>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</si>
  <si>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</si>
  <si>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</si>
  <si>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</si>
  <si>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</si>
  <si>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</si>
  <si>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</si>
  <si>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</si>
  <si>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</si>
  <si>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</si>
  <si>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</si>
  <si>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</si>
  <si>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</si>
  <si>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</si>
  <si>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</si>
  <si>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</si>
  <si>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</si>
  <si>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</si>
  <si>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</si>
  <si>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</si>
  <si>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</si>
  <si>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</si>
  <si>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</si>
  <si>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</si>
  <si>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</si>
  <si>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</si>
  <si>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</si>
  <si>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</si>
  <si>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</si>
  <si>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</si>
  <si>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</si>
  <si>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</si>
  <si>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</si>
  <si>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</si>
  <si>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</si>
  <si>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</si>
  <si>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</si>
  <si>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</si>
  <si>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</si>
  <si>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</si>
  <si>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</si>
  <si>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</si>
  <si>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</si>
  <si>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</si>
  <si>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</si>
  <si>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</si>
  <si>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</si>
  <si>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</si>
  <si>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</si>
  <si>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</si>
  <si>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</si>
  <si>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</si>
  <si>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</si>
  <si>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</si>
  <si>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</si>
  <si>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</si>
  <si>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</si>
  <si>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</si>
  <si>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</si>
  <si>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</si>
  <si>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</si>
  <si>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</si>
  <si>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</si>
  <si>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</si>
  <si>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</si>
  <si>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</si>
  <si>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</si>
  <si>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</si>
  <si>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</si>
  <si>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</si>
  <si>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</si>
  <si>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</si>
  <si>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</si>
  <si>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</si>
  <si>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</si>
  <si>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</si>
  <si>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</si>
  <si>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</si>
  <si>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</si>
  <si>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</si>
  <si>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</si>
  <si>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</si>
  <si>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</si>
  <si>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</si>
  <si>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</si>
  <si>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</si>
  <si>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</si>
  <si>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</si>
  <si>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</si>
  <si>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</si>
  <si>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</si>
  <si>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</si>
  <si>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</si>
  <si>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</si>
  <si>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</si>
  <si>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</si>
  <si>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</si>
  <si>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</si>
  <si>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</si>
  <si>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</si>
  <si>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</si>
  <si>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</si>
  <si>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</si>
  <si>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</si>
  <si>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</si>
  <si>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</si>
  <si>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</si>
  <si>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</si>
  <si>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</si>
  <si>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</si>
  <si>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</si>
  <si>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</si>
  <si>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</si>
  <si>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</si>
  <si>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</si>
  <si>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</si>
  <si>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</si>
  <si>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</si>
  <si>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</si>
  <si>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</si>
  <si>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</si>
  <si>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</si>
  <si>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</si>
  <si>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</si>
  <si>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</si>
  <si>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</si>
  <si>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</si>
  <si>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</si>
  <si>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</si>
  <si>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</si>
  <si>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</si>
  <si>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</si>
  <si>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</si>
  <si>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</si>
  <si>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</si>
  <si>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</si>
  <si>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</si>
  <si>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</si>
  <si>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</si>
  <si>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</si>
  <si>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</si>
  <si>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</si>
  <si>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</si>
  <si>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</si>
  <si>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</si>
  <si>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</si>
  <si>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</si>
  <si>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</si>
  <si>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</si>
  <si>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</si>
  <si>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</si>
  <si>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</si>
  <si>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</si>
  <si>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</si>
  <si>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</si>
  <si>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</si>
  <si>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</si>
  <si>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</si>
  <si>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</si>
  <si>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</si>
  <si>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</si>
  <si>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</si>
  <si>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</si>
  <si>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</si>
  <si>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</si>
  <si>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</si>
  <si>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</si>
  <si>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</si>
  <si>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</si>
  <si>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</si>
  <si>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</si>
  <si>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</si>
  <si>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</si>
  <si>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</si>
  <si>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</si>
  <si>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</si>
  <si>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</si>
  <si>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</si>
  <si>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</si>
  <si>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</si>
  <si>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</si>
  <si>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</si>
  <si>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</si>
  <si>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</si>
  <si>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</si>
  <si>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</si>
  <si>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</si>
  <si>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</si>
  <si>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</si>
  <si>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</si>
  <si>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</si>
  <si>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</si>
  <si>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</si>
  <si>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</si>
  <si>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</si>
  <si>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</si>
  <si>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</si>
  <si>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</si>
  <si>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</si>
  <si>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</si>
  <si>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</si>
  <si>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</si>
  <si>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</si>
  <si>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</si>
  <si>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</si>
  <si>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</si>
  <si>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</si>
  <si>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</si>
  <si>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</si>
  <si>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</si>
  <si>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</si>
  <si>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</si>
  <si>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</si>
  <si>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</si>
  <si>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</si>
  <si>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</si>
  <si>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</si>
  <si>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</si>
  <si>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</si>
  <si>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</si>
  <si>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</si>
  <si>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</si>
  <si>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</si>
  <si>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</si>
  <si>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</si>
  <si>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</si>
  <si>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</si>
  <si>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</si>
  <si>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</si>
  <si>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</si>
  <si>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</si>
  <si>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</si>
  <si>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</si>
  <si>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</si>
  <si>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</si>
  <si>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</si>
  <si>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</si>
  <si>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</si>
  <si>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</si>
  <si>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</si>
  <si>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</si>
  <si>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</si>
  <si>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</si>
  <si>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</si>
  <si>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</si>
  <si>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</si>
  <si>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</si>
  <si>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</si>
  <si>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</si>
  <si>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</si>
  <si>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</si>
  <si>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</si>
  <si>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</si>
  <si>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</si>
  <si>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</si>
  <si>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</si>
  <si>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</si>
  <si>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</si>
  <si>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</si>
  <si>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</si>
  <si>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</si>
  <si>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</si>
  <si>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</si>
  <si>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</si>
  <si>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</si>
  <si>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</si>
  <si>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</si>
  <si>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</si>
  <si>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</si>
  <si>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</si>
  <si>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</si>
  <si>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</si>
  <si>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</si>
  <si>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</si>
  <si>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</si>
  <si>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</si>
  <si>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</si>
  <si>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</si>
  <si>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</si>
  <si>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</si>
  <si>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</si>
  <si>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</si>
  <si>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</si>
  <si>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</si>
  <si>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</si>
  <si>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</si>
  <si>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</si>
  <si>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</si>
  <si>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</si>
  <si>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</si>
  <si>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</si>
  <si>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</si>
  <si>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</si>
  <si>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</si>
  <si>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</si>
  <si>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</si>
  <si>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</si>
  <si>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</si>
  <si>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</si>
  <si>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</si>
  <si>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</si>
  <si>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</si>
  <si>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</si>
  <si>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</si>
  <si>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</si>
  <si>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</si>
  <si>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</si>
  <si>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</si>
  <si>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</si>
  <si>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</si>
  <si>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</si>
  <si>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</si>
  <si>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</si>
  <si>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</si>
  <si>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</si>
  <si>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</si>
  <si>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</si>
  <si>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</si>
  <si>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</si>
  <si>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</si>
  <si>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</si>
  <si>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</si>
  <si>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</si>
  <si>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</si>
  <si>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</si>
  <si>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</si>
  <si>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</si>
  <si>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</si>
  <si>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</si>
  <si>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</si>
  <si>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</si>
  <si>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</si>
  <si>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</si>
  <si>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</si>
  <si>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</si>
  <si>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</si>
  <si>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</si>
  <si>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</si>
  <si>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</si>
  <si>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</si>
  <si>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</si>
  <si>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</si>
  <si>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</si>
  <si>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</si>
  <si>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</si>
  <si>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</si>
  <si>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</si>
  <si>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</si>
  <si>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</si>
  <si>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</si>
  <si>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</si>
  <si>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</si>
  <si>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</si>
  <si>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</si>
  <si>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</si>
  <si>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</si>
  <si>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</si>
  <si>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</si>
  <si>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</si>
  <si>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</si>
  <si>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</si>
  <si>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</si>
  <si>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</si>
  <si>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</si>
  <si>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</si>
  <si>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</si>
  <si>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</si>
  <si>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</si>
  <si>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</si>
  <si>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</si>
  <si>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</si>
  <si>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</si>
  <si>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</si>
  <si>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</si>
  <si>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</si>
  <si>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</si>
  <si>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</si>
  <si>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</si>
  <si>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</si>
  <si>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</si>
  <si>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</si>
  <si>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</si>
  <si>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</si>
  <si>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</si>
  <si>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</si>
  <si>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</si>
  <si>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</si>
  <si>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</si>
  <si>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</si>
  <si>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</si>
  <si>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</si>
  <si>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</si>
  <si>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</si>
  <si>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</si>
  <si>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</si>
  <si>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</si>
  <si>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</si>
  <si>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</si>
  <si>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</si>
  <si>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</si>
  <si>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</si>
  <si>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</si>
  <si>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</si>
  <si>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</si>
  <si>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</si>
  <si>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</si>
  <si>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</si>
  <si>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</si>
  <si>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</si>
  <si>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</si>
  <si>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</si>
  <si>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</si>
  <si>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</si>
  <si>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</si>
  <si>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</si>
  <si>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</si>
  <si>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</si>
  <si>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</si>
  <si>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</si>
  <si>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</si>
  <si>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</si>
  <si>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</si>
  <si>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</si>
  <si>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</si>
  <si>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</si>
  <si>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</si>
  <si>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</si>
  <si>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</si>
  <si>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</si>
  <si>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</si>
  <si>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</si>
  <si>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</si>
  <si>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</si>
  <si>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</si>
  <si>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</si>
  <si>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</si>
  <si>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</si>
  <si>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</si>
  <si>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</si>
  <si>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</si>
  <si>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</si>
  <si>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</si>
  <si>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</si>
  <si>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</si>
  <si>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</si>
  <si>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</si>
  <si>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</si>
  <si>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</si>
  <si>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</si>
  <si>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</si>
  <si>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</si>
  <si>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</si>
  <si>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</si>
  <si>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</si>
  <si>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</si>
  <si>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</si>
  <si>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</si>
  <si>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</si>
  <si>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</si>
  <si>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</si>
  <si>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</si>
  <si>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</si>
  <si>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</si>
  <si>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</si>
  <si>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</si>
  <si>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</si>
  <si>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</si>
  <si>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</si>
  <si>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</si>
  <si>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</si>
  <si>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</si>
  <si>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</si>
  <si>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</si>
  <si>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</si>
  <si>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</si>
  <si>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</si>
  <si>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</si>
  <si>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</si>
  <si>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</si>
  <si>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</si>
  <si>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</si>
  <si>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</si>
  <si>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</si>
  <si>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</si>
  <si>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</si>
  <si>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</si>
  <si>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</si>
  <si>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</si>
  <si>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</si>
  <si>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</si>
  <si>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</si>
  <si>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</si>
  <si>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</si>
  <si>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</si>
  <si>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</si>
  <si>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</si>
  <si>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</si>
  <si>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</si>
  <si>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</si>
  <si>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</si>
  <si>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</si>
  <si>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</si>
  <si>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</si>
  <si>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</si>
  <si>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</si>
  <si>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</si>
  <si>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</si>
  <si>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</si>
  <si>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</si>
  <si>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</si>
  <si>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</si>
  <si>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</si>
  <si>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</si>
  <si>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</si>
  <si>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</si>
  <si>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</si>
  <si>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</si>
  <si>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</si>
  <si>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</si>
  <si>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</si>
  <si>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</si>
  <si>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</si>
  <si>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</si>
  <si>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</si>
  <si>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</si>
  <si>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</si>
  <si>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</si>
  <si>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</si>
  <si>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</si>
  <si>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</si>
  <si>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</si>
  <si>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</si>
  <si>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</si>
  <si>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</si>
  <si>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</si>
  <si>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</si>
  <si>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</si>
  <si>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</si>
  <si>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</si>
  <si>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</si>
  <si>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</si>
  <si>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</si>
  <si>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</si>
  <si>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</si>
  <si>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</si>
  <si>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</si>
  <si>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</si>
  <si>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</si>
  <si>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</si>
  <si>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</si>
  <si>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</si>
  <si>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</si>
  <si>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</si>
  <si>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</si>
  <si>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</si>
  <si>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</si>
  <si>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</si>
  <si>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</si>
  <si>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</si>
  <si>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</si>
  <si>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</si>
  <si>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</si>
  <si>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</si>
  <si>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</si>
  <si>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</si>
  <si>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</si>
  <si>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</si>
  <si>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</si>
  <si>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</si>
  <si>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</si>
  <si>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</si>
  <si>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</si>
  <si>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</si>
  <si>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</si>
  <si>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</si>
  <si>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</si>
  <si>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</si>
  <si>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</si>
  <si>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</si>
  <si>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</si>
  <si>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</si>
  <si>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</si>
  <si>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</si>
  <si>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</si>
  <si>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</si>
  <si>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</si>
  <si>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</si>
  <si>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</si>
  <si>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</si>
  <si>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</si>
  <si>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</si>
  <si>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</si>
  <si>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</si>
  <si>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</si>
  <si>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</si>
  <si>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</si>
  <si>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</si>
  <si>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</si>
  <si>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</si>
  <si>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</si>
  <si>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</si>
  <si>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</si>
  <si>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</si>
  <si>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</si>
  <si>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</si>
  <si>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</si>
  <si>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</si>
  <si>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</si>
  <si>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</si>
  <si>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</si>
  <si>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</si>
  <si>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</si>
  <si>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</si>
  <si>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</si>
  <si>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</si>
  <si>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</si>
  <si>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</si>
  <si>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</si>
  <si>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</si>
  <si>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</si>
  <si>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</si>
  <si>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</si>
  <si>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</si>
  <si>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</si>
  <si>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</si>
  <si>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</si>
  <si>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</si>
  <si>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</si>
  <si>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</si>
  <si>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</si>
  <si>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</si>
  <si>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</si>
  <si>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</si>
  <si>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</si>
  <si>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</si>
  <si>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</si>
  <si>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</si>
  <si>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</si>
  <si>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</si>
  <si>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</si>
  <si>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</si>
  <si>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</si>
  <si>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</si>
  <si>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</si>
  <si>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</si>
  <si>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</si>
  <si>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</si>
  <si>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</si>
  <si>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</si>
  <si>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</si>
  <si>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</si>
  <si>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</si>
  <si>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</si>
  <si>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</si>
  <si>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</si>
  <si>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</si>
  <si>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</si>
  <si>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</si>
  <si>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</si>
  <si>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</si>
  <si>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</si>
  <si>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</si>
  <si>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</si>
  <si>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</si>
  <si>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</si>
  <si>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</si>
  <si>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</si>
  <si>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</si>
  <si>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</si>
  <si>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</si>
  <si>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</si>
  <si>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</si>
  <si>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</si>
  <si>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</si>
  <si>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</si>
  <si>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</si>
  <si>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</si>
  <si>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</si>
  <si>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</si>
  <si>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</si>
  <si>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</si>
  <si>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</si>
  <si>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</si>
  <si>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</si>
  <si>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</si>
  <si>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</si>
  <si>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</si>
  <si>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</si>
  <si>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</si>
  <si>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</si>
  <si>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</si>
  <si>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</si>
  <si>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</si>
  <si>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</si>
  <si>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</si>
  <si>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</si>
  <si>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</si>
  <si>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</si>
  <si>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</si>
  <si>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</si>
  <si>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</si>
  <si>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</si>
  <si>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</si>
  <si>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</si>
  <si>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</si>
  <si>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</si>
  <si>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</si>
  <si>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</si>
  <si>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</si>
  <si>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</si>
  <si>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</si>
  <si>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</si>
  <si>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</si>
  <si>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</si>
  <si>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</si>
  <si>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</si>
  <si>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</si>
  <si>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</si>
  <si>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</si>
  <si>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</si>
  <si>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</si>
  <si>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</si>
  <si>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</si>
  <si>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</si>
  <si>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</si>
  <si>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</si>
  <si>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</si>
  <si>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</si>
  <si>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</si>
  <si>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</si>
  <si>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</si>
  <si>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</si>
  <si>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</si>
  <si>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</si>
  <si>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</si>
  <si>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</si>
  <si>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</si>
  <si>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</si>
  <si>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</si>
  <si>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</si>
  <si>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</si>
  <si>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</si>
  <si>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</si>
  <si>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</si>
  <si>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</si>
  <si>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</si>
  <si>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</si>
  <si>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</si>
  <si>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</si>
  <si>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</si>
  <si>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</si>
  <si>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</si>
  <si>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</si>
  <si>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</si>
  <si>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</si>
  <si>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</si>
  <si>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</si>
  <si>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</si>
  <si>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</si>
  <si>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</si>
  <si>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</si>
  <si>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</si>
  <si>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</si>
  <si>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</si>
  <si>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</si>
  <si>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</si>
  <si>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</si>
  <si>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</si>
  <si>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</si>
  <si>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</si>
  <si>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</si>
  <si>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</si>
  <si>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</si>
  <si>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</si>
  <si>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</si>
  <si>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</si>
  <si>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</si>
  <si>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</si>
  <si>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</si>
  <si>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</si>
  <si>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</si>
  <si>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</si>
  <si>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</si>
  <si>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</si>
  <si>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</si>
  <si>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</si>
  <si>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</si>
  <si>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</si>
  <si>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</si>
  <si>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</si>
  <si>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</si>
  <si>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</si>
  <si>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</si>
  <si>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</si>
  <si>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</si>
  <si>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</si>
  <si>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</si>
  <si>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</si>
  <si>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</si>
  <si>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</si>
  <si>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</si>
  <si>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</si>
  <si>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</si>
  <si>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</si>
  <si>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</si>
  <si>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</si>
  <si>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</si>
  <si>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</si>
  <si>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</si>
  <si>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</si>
  <si>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</si>
  <si>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</si>
  <si>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</si>
  <si>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</si>
  <si>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</si>
  <si>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</si>
  <si>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</si>
  <si>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</si>
  <si>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</si>
  <si>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</si>
  <si>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</si>
  <si>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</si>
  <si>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</si>
  <si>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</si>
  <si>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</si>
  <si>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</si>
  <si>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</si>
  <si>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</si>
  <si>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</si>
  <si>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</si>
  <si>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</si>
  <si>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</si>
  <si>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</si>
  <si>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</si>
  <si>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</si>
  <si>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</si>
  <si>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</si>
  <si>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</si>
  <si>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</si>
  <si>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</si>
  <si>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</si>
  <si>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</si>
  <si>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</si>
  <si>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</si>
  <si>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</si>
  <si>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</si>
  <si>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</si>
  <si>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</si>
  <si>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</si>
  <si>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</si>
  <si>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</si>
  <si>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</si>
  <si>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</si>
  <si>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</si>
  <si>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</si>
  <si>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</si>
  <si>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</si>
  <si>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</si>
  <si>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</si>
  <si>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</si>
  <si>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</si>
  <si>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</si>
  <si>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</si>
  <si>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</si>
  <si>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</si>
  <si>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</si>
  <si>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</si>
  <si>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</si>
  <si>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</si>
  <si>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</si>
  <si>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</si>
  <si>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</si>
  <si>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</si>
  <si>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</si>
  <si>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</si>
  <si>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</si>
  <si>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</si>
  <si>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</si>
  <si>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</si>
  <si>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</si>
  <si>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</si>
  <si>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</si>
  <si>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</si>
  <si>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</si>
  <si>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</si>
  <si>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</si>
  <si>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</si>
  <si>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</si>
  <si>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</si>
  <si>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</si>
  <si>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</si>
  <si>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</si>
  <si>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</si>
  <si>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</si>
  <si>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</si>
  <si>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</si>
  <si>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</si>
  <si>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</si>
  <si>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</si>
  <si>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</si>
  <si>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</si>
  <si>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</si>
  <si>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</si>
  <si>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</si>
  <si>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</si>
  <si>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</si>
  <si>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</si>
  <si>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</si>
  <si>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</si>
  <si>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</si>
  <si>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</si>
  <si>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</si>
  <si>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</si>
  <si>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</si>
  <si>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</si>
  <si>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</si>
  <si>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</si>
  <si>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</si>
  <si>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</si>
  <si>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</si>
  <si>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</si>
  <si>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</si>
  <si>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</si>
  <si>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</si>
  <si>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</si>
  <si>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</si>
  <si>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</si>
  <si>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</si>
  <si>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</si>
  <si>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</si>
  <si>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</si>
  <si>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</si>
  <si>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</si>
  <si>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</si>
  <si>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</si>
  <si>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</si>
  <si>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</si>
  <si>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</si>
  <si>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</si>
  <si>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</si>
  <si>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</si>
  <si>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</si>
  <si>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</si>
  <si>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</si>
  <si>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</si>
  <si>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</si>
  <si>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</si>
  <si>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</si>
  <si>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</si>
  <si>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</si>
  <si>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</si>
  <si>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</si>
  <si>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</si>
  <si>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</si>
  <si>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</si>
  <si>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</si>
  <si>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</si>
  <si>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</si>
  <si>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</si>
  <si>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</si>
  <si>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</si>
  <si>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</si>
  <si>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</si>
  <si>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</si>
  <si>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</si>
  <si>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</si>
  <si>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</si>
  <si>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</si>
  <si>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</si>
  <si>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</si>
  <si>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</si>
  <si>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</si>
  <si>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</si>
  <si>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</si>
  <si>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</si>
  <si>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</si>
  <si>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</si>
  <si>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</si>
  <si>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</si>
  <si>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</si>
  <si>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</si>
  <si>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</si>
  <si>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</si>
  <si>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</si>
  <si>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</si>
  <si>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</si>
  <si>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</si>
  <si>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</si>
  <si>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</si>
  <si>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</si>
  <si>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</si>
  <si>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</si>
  <si>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</si>
  <si>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</si>
  <si>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</si>
  <si>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</si>
  <si>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</si>
  <si>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</si>
  <si>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</si>
  <si>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</si>
  <si>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</si>
  <si>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</si>
  <si>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</si>
  <si>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</si>
  <si>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</si>
  <si>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</si>
  <si>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</si>
  <si>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</si>
  <si>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</si>
  <si>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</si>
  <si>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</si>
  <si>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</si>
  <si>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</si>
  <si>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</si>
  <si>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</si>
  <si>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</si>
  <si>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</si>
  <si>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</si>
  <si>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</si>
  <si>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</si>
  <si>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</si>
  <si>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</si>
  <si>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</si>
  <si>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</si>
  <si>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</si>
  <si>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</si>
  <si>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</si>
  <si>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</si>
  <si>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</si>
  <si>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</si>
  <si>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</si>
  <si>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</si>
  <si>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</si>
  <si>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</si>
  <si>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</si>
  <si>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</si>
  <si>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</si>
  <si>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</si>
  <si>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</si>
  <si>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</si>
  <si>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</si>
  <si>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</si>
  <si>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</si>
  <si>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</si>
  <si>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</si>
  <si>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</si>
  <si>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</si>
  <si>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</si>
  <si>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</si>
  <si>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</si>
  <si>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</si>
  <si>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</si>
  <si>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</si>
  <si>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</si>
  <si>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</si>
  <si>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</si>
  <si>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</si>
  <si>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</si>
  <si>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</si>
  <si>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</si>
  <si>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</si>
  <si>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</si>
  <si>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</si>
  <si>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</si>
  <si>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</si>
  <si>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</si>
  <si>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</si>
  <si>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</si>
  <si>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</si>
  <si>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</si>
  <si>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</si>
  <si>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</si>
  <si>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</si>
  <si>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</si>
  <si>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</si>
  <si>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</si>
  <si>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</si>
  <si>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</si>
  <si>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</si>
  <si>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</si>
  <si>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</si>
  <si>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</si>
  <si>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</si>
  <si>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</si>
  <si>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E-tec Interconnect Asia Ltd. / E-tec Interconnect AG / EMC electro mechanical components GmbH</t>
  </si>
  <si>
    <t>Fabian Girolstein</t>
  </si>
  <si>
    <t>f.girolstein@emc.de</t>
  </si>
  <si>
    <t>+496126939580</t>
  </si>
  <si>
    <t>CTO</t>
  </si>
  <si>
    <t>The material of plating surface</t>
  </si>
  <si>
    <t>100%</t>
  </si>
  <si>
    <t>Taiwan/China made products</t>
  </si>
  <si>
    <t>Swiss made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</si>
</sst>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girolstein@emc.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f.girolstein@emc.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
      <c r="A13" s="302"/>
      <c r="B13" s="2">
        <v>1</v>
      </c>
      <c r="C13" s="27" t="s">
        <v>1078</v>
      </c>
      <c r="D13" s="28" t="s">
        <v>866</v>
      </c>
      <c r="E13" s="163" t="s">
        <v>843</v>
      </c>
      <c r="F13" s="163"/>
      <c r="G13" s="25"/>
    </row>
    <row r="14" spans="1:7" ht="30">
      <c r="A14" s="302"/>
      <c r="B14" s="2">
        <v>2</v>
      </c>
      <c r="C14" s="27" t="s">
        <v>1078</v>
      </c>
      <c r="D14" s="28" t="s">
        <v>1015</v>
      </c>
      <c r="E14" s="163" t="s">
        <v>526</v>
      </c>
      <c r="F14" s="163" t="s">
        <v>527</v>
      </c>
      <c r="G14" s="25"/>
    </row>
    <row r="15" spans="1:7" ht="89.15"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150000000000006"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5"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99999999999999" customHeight="1">
      <c r="A28" s="302"/>
      <c r="B28" s="315"/>
      <c r="C28" s="309"/>
      <c r="D28" s="312"/>
      <c r="E28" s="300"/>
      <c r="F28" s="165" t="s">
        <v>57</v>
      </c>
      <c r="G28" s="25"/>
    </row>
    <row r="29" spans="1:7" ht="74.5" customHeight="1">
      <c r="A29" s="302"/>
      <c r="B29" s="315"/>
      <c r="C29" s="309"/>
      <c r="D29" s="312"/>
      <c r="E29" s="300"/>
      <c r="F29" s="165" t="s">
        <v>58</v>
      </c>
      <c r="G29" s="25"/>
    </row>
    <row r="30" spans="1:7" ht="62.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 customHeight="1">
      <c r="A33" s="302"/>
      <c r="B33" s="315"/>
      <c r="C33" s="309"/>
      <c r="D33" s="312"/>
      <c r="E33" s="300"/>
      <c r="F33" s="165" t="s">
        <v>62</v>
      </c>
      <c r="G33" s="25"/>
    </row>
    <row r="34" spans="1:7" ht="89.15" customHeight="1">
      <c r="A34" s="302"/>
      <c r="B34" s="315"/>
      <c r="C34" s="309"/>
      <c r="D34" s="312"/>
      <c r="E34" s="300"/>
      <c r="F34" s="165" t="s">
        <v>64</v>
      </c>
      <c r="G34" s="25"/>
    </row>
    <row r="35" spans="1:7" ht="29.15" customHeight="1">
      <c r="A35" s="302"/>
      <c r="B35" s="315"/>
      <c r="C35" s="309"/>
      <c r="D35" s="312"/>
      <c r="E35" s="300"/>
      <c r="F35" s="165" t="s">
        <v>65</v>
      </c>
      <c r="G35" s="25"/>
    </row>
    <row r="36" spans="1:7" ht="111">
      <c r="A36" s="302"/>
      <c r="B36" s="316"/>
      <c r="C36" s="310"/>
      <c r="D36" s="313"/>
      <c r="E36" s="301"/>
      <c r="F36" s="166" t="s">
        <v>66</v>
      </c>
      <c r="G36" s="25"/>
    </row>
    <row r="37" spans="1:7" ht="100">
      <c r="A37" s="302"/>
      <c r="B37" s="141">
        <v>3.01</v>
      </c>
      <c r="C37" s="142" t="s">
        <v>67</v>
      </c>
      <c r="D37" s="28" t="s">
        <v>2234</v>
      </c>
      <c r="E37" s="167" t="s">
        <v>1316</v>
      </c>
      <c r="F37" s="168" t="s">
        <v>1420</v>
      </c>
      <c r="G37" s="25"/>
    </row>
    <row r="38" spans="1:7" ht="90">
      <c r="A38" s="302"/>
      <c r="B38" s="141">
        <v>3.02</v>
      </c>
      <c r="C38" s="142" t="s">
        <v>1349</v>
      </c>
      <c r="D38" s="28" t="s">
        <v>2235</v>
      </c>
      <c r="E38" s="167" t="s">
        <v>1364</v>
      </c>
      <c r="F38" s="168" t="s">
        <v>1421</v>
      </c>
      <c r="G38" s="25"/>
    </row>
    <row r="39" spans="1:7" ht="80">
      <c r="A39" s="302"/>
      <c r="B39" s="150">
        <v>4</v>
      </c>
      <c r="C39" s="149" t="s">
        <v>1517</v>
      </c>
      <c r="D39" s="28" t="s">
        <v>2236</v>
      </c>
      <c r="E39" s="27" t="s">
        <v>2182</v>
      </c>
      <c r="F39" s="27" t="s">
        <v>1518</v>
      </c>
      <c r="G39" s="25"/>
    </row>
    <row r="40" spans="1:7" ht="50">
      <c r="A40" s="302"/>
      <c r="B40" s="141">
        <v>4.01</v>
      </c>
      <c r="C40" s="149" t="s">
        <v>1517</v>
      </c>
      <c r="D40" s="28" t="s">
        <v>2238</v>
      </c>
      <c r="E40" s="27" t="s">
        <v>2194</v>
      </c>
      <c r="F40" s="27" t="s">
        <v>2198</v>
      </c>
      <c r="G40" s="25"/>
    </row>
    <row r="41" spans="1:7" ht="50">
      <c r="A41" s="302"/>
      <c r="B41" s="141" t="s">
        <v>2225</v>
      </c>
      <c r="C41" s="149" t="s">
        <v>1517</v>
      </c>
      <c r="D41" s="28" t="s">
        <v>2237</v>
      </c>
      <c r="E41" s="27" t="s">
        <v>2228</v>
      </c>
      <c r="F41" s="27" t="s">
        <v>2226</v>
      </c>
      <c r="G41" s="25"/>
    </row>
    <row r="42" spans="1:7" ht="50">
      <c r="A42" s="302"/>
      <c r="B42" s="141" t="s">
        <v>2259</v>
      </c>
      <c r="C42" s="149" t="s">
        <v>1517</v>
      </c>
      <c r="D42" s="28" t="s">
        <v>2264</v>
      </c>
      <c r="E42" s="27" t="s">
        <v>2227</v>
      </c>
      <c r="F42" s="27" t="s">
        <v>2260</v>
      </c>
      <c r="G42" s="25"/>
    </row>
    <row r="43" spans="1:7" ht="110">
      <c r="A43" s="302"/>
      <c r="B43" s="160">
        <v>4.0999999999999996</v>
      </c>
      <c r="C43" s="149" t="s">
        <v>2263</v>
      </c>
      <c r="D43" s="161">
        <v>42867</v>
      </c>
      <c r="E43" s="169" t="s">
        <v>2266</v>
      </c>
      <c r="F43" s="27" t="s">
        <v>2265</v>
      </c>
      <c r="G43" s="25"/>
    </row>
    <row r="44" spans="1:7" ht="70">
      <c r="A44" s="302"/>
      <c r="B44" s="160">
        <v>4.2</v>
      </c>
      <c r="C44" s="149" t="s">
        <v>2263</v>
      </c>
      <c r="D44" s="161">
        <v>42704</v>
      </c>
      <c r="E44" s="169" t="s">
        <v>2462</v>
      </c>
      <c r="F44" s="27" t="s">
        <v>2437</v>
      </c>
      <c r="G44" s="25"/>
    </row>
    <row r="45" spans="1:7" ht="130">
      <c r="A45" s="302"/>
      <c r="B45" s="202">
        <v>5</v>
      </c>
      <c r="C45" s="149" t="s">
        <v>2263</v>
      </c>
      <c r="D45" s="161">
        <v>42867</v>
      </c>
      <c r="E45" s="169" t="s">
        <v>12683</v>
      </c>
      <c r="F45" s="27" t="s">
        <v>12405</v>
      </c>
      <c r="G45" s="25"/>
    </row>
    <row r="46" spans="1:7" ht="30">
      <c r="A46" s="302"/>
      <c r="B46" s="160">
        <v>5.01</v>
      </c>
      <c r="C46" s="149" t="s">
        <v>2263</v>
      </c>
      <c r="D46" s="161">
        <v>42907</v>
      </c>
      <c r="E46" s="169" t="s">
        <v>15484</v>
      </c>
      <c r="F46" s="27" t="s">
        <v>12405</v>
      </c>
      <c r="G46" s="25"/>
    </row>
    <row r="47" spans="1:7" ht="60">
      <c r="A47" s="302"/>
      <c r="B47" s="160">
        <v>5.0999999999999996</v>
      </c>
      <c r="C47" s="149" t="s">
        <v>2263</v>
      </c>
      <c r="D47" s="161">
        <v>43070</v>
      </c>
      <c r="E47" s="169" t="s">
        <v>12893</v>
      </c>
      <c r="F47" s="27" t="s">
        <v>12894</v>
      </c>
      <c r="G47" s="25"/>
    </row>
    <row r="48" spans="1:7" ht="50">
      <c r="A48" s="302"/>
      <c r="B48" s="160">
        <v>5.1100000000000003</v>
      </c>
      <c r="C48" s="149" t="s">
        <v>13129</v>
      </c>
      <c r="D48" s="161">
        <v>43217</v>
      </c>
      <c r="E48" s="169" t="s">
        <v>13255</v>
      </c>
      <c r="F48" s="27" t="s">
        <v>13163</v>
      </c>
      <c r="G48" s="25"/>
    </row>
    <row r="49" spans="1:7" ht="50">
      <c r="A49" s="302"/>
      <c r="B49" s="160">
        <v>5.12</v>
      </c>
      <c r="C49" s="149" t="s">
        <v>13129</v>
      </c>
      <c r="D49" s="161">
        <v>43581</v>
      </c>
      <c r="E49" s="169" t="s">
        <v>13255</v>
      </c>
      <c r="F49" s="27" t="s">
        <v>13807</v>
      </c>
      <c r="G49" s="25"/>
    </row>
    <row r="50" spans="1:7" ht="70">
      <c r="A50" s="302"/>
      <c r="B50" s="202">
        <v>6</v>
      </c>
      <c r="C50" s="149" t="s">
        <v>13129</v>
      </c>
      <c r="D50" s="161">
        <v>43964</v>
      </c>
      <c r="E50" s="169" t="s">
        <v>14020</v>
      </c>
      <c r="F50" s="27" t="s">
        <v>13810</v>
      </c>
      <c r="G50" s="25"/>
    </row>
    <row r="51" spans="1:7" ht="40">
      <c r="A51" s="302"/>
      <c r="B51" s="160">
        <v>6.01</v>
      </c>
      <c r="C51" s="149" t="s">
        <v>13129</v>
      </c>
      <c r="D51" s="161">
        <v>43970</v>
      </c>
      <c r="E51" s="169" t="s">
        <v>15485</v>
      </c>
      <c r="F51" s="169" t="s">
        <v>13810</v>
      </c>
      <c r="G51" s="25"/>
    </row>
    <row r="52" spans="1:7" ht="40">
      <c r="A52" s="302"/>
      <c r="B52" s="160">
        <v>6.1</v>
      </c>
      <c r="C52" s="149" t="s">
        <v>13129</v>
      </c>
      <c r="D52" s="161">
        <v>44314</v>
      </c>
      <c r="E52" s="169" t="s">
        <v>15477</v>
      </c>
      <c r="F52" s="169" t="s">
        <v>15015</v>
      </c>
      <c r="G52" s="25"/>
    </row>
    <row r="53" spans="1:7" ht="40">
      <c r="A53" s="302"/>
      <c r="B53" s="160">
        <v>6.2</v>
      </c>
      <c r="C53" s="149" t="s">
        <v>13129</v>
      </c>
      <c r="D53" s="161">
        <v>44678</v>
      </c>
      <c r="E53" s="169" t="s">
        <v>15477</v>
      </c>
      <c r="F53" s="169" t="s">
        <v>15476</v>
      </c>
      <c r="G53" s="25"/>
    </row>
    <row r="54" spans="1:7" ht="40">
      <c r="A54" s="302"/>
      <c r="B54" s="160">
        <v>6.21</v>
      </c>
      <c r="C54" s="149" t="s">
        <v>13129</v>
      </c>
      <c r="D54" s="161">
        <v>44687</v>
      </c>
      <c r="E54" s="169" t="s">
        <v>15486</v>
      </c>
      <c r="F54" s="169" t="s">
        <v>15476</v>
      </c>
      <c r="G54" s="25"/>
    </row>
    <row r="55" spans="1:7" ht="40">
      <c r="A55" s="302"/>
      <c r="B55" s="160">
        <v>6.22</v>
      </c>
      <c r="C55" s="149" t="s">
        <v>13129</v>
      </c>
      <c r="D55" s="275">
        <v>44692</v>
      </c>
      <c r="E55" s="169" t="s">
        <v>15485</v>
      </c>
      <c r="F55" s="169" t="s">
        <v>15476</v>
      </c>
      <c r="G55" s="25"/>
    </row>
    <row r="56" spans="1:7" ht="50">
      <c r="A56" s="302"/>
      <c r="B56" s="202">
        <v>6.3</v>
      </c>
      <c r="C56" s="149" t="s">
        <v>13129</v>
      </c>
      <c r="D56" s="275">
        <v>45051</v>
      </c>
      <c r="E56" s="169" t="s">
        <v>15753</v>
      </c>
      <c r="F56" s="169" t="s">
        <v>15534</v>
      </c>
      <c r="G56" s="25"/>
    </row>
    <row r="57" spans="1:7" ht="40">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4" thickBot="1">
      <c r="A59" s="303"/>
      <c r="B59" s="304" t="str">
        <f ca="1">OFFSET(L!$C$1,MATCH("General"&amp;"Cpy",L!$A:$A,0)-1,SL,,)</f>
        <v>© 2024 Responsible Minerals Initiative. All rights reserved.</v>
      </c>
      <c r="C59" s="304"/>
      <c r="D59" s="304"/>
      <c r="E59" s="304"/>
      <c r="F59" s="304"/>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DE7CCDF-7EAC-4BB1-839A-5287D2F2577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69F4C15-1EB8-4A9C-9FA4-C4D19D7D9CF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70" zoomScaleNormal="70" zoomScalePageLayoutView="60" workbookViewId="0"/>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55" zoomScale="80" zoomScaleNormal="80" zoomScalePageLayoutView="70" workbookViewId="0">
      <selection activeCell="D89" sqref="D89:E89"/>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15856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15859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15857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15858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45411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34" t="s">
        <v>15860</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34" t="s">
        <v>15860</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34" t="s">
        <v>15860</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34" t="s">
        <v>15860</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15861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15861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
      </c>
    </row>
    <row r="103" spans="2:7" ht="15" hidden="1">
      <c r="B103" s="236" t="s">
        <v>2466</v>
      </c>
      <c r="D103" s="282" t="str">
        <f>IF(AND(OR($D$28="Yes",$D$28=""),OR($D$34="Yes",$D$34="")),"No","")</f>
        <v>No</v>
      </c>
      <c r="E103" s="282" t="str">
        <f>IF(AND(OR($D$27="Yes",$D$27=""),OR($D$33="Yes",$D$33="")),"Greater than 90%","")</f>
        <v>Greater than 90%</v>
      </c>
      <c r="G103" s="282" t="str">
        <f>IF(OR($D$29="Yes",$D$29=""),"No","")</f>
        <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7D34119-BCE4-48C0-833B-47150116B59E}"/>
    <hyperlink ref="D20" r:id="rId4" xr:uid="{FFE82267-F086-43DF-B34D-375527BE9F7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Normal="100" zoomScalePageLayoutView="55" workbookViewId="0">
      <selection activeCell="E11" sqref="E11"/>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673</v>
      </c>
      <c r="B5" s="182" t="str">
        <f ca="1">IF(LEN(A5)=0,"",INDEX('Smelter Look-up'!$A:$A,MATCH($A5,'Smelter Look-up'!$E:$E,0)))</f>
        <v>Gold</v>
      </c>
      <c r="C5" s="186" t="str">
        <f ca="1">IF(LEN(A5)=0,"",INDEX('Smelter Look-up'!$C:$C,MATCH($A5,'Smelter Look-up'!$E:$E,0)))</f>
        <v>Heraeus Metals Hong Kong Ltd.</v>
      </c>
      <c r="D5" s="230"/>
      <c r="E5" s="182" t="str">
        <f ca="1">IF(ISERROR($V5),"",OFFSET('Smelter Look-up'!$D$4,$V5-4,0)&amp;"")</f>
        <v>CHINA</v>
      </c>
      <c r="F5" s="182" t="str">
        <f ca="1">IF(ISERROR($V5),"",OFFSET('Smelter Look-up'!$E$4,$V5-4,0))</f>
        <v>CID000707</v>
      </c>
      <c r="G5" s="182" t="str">
        <f ca="1">IF(C5=$X$4,IF(ISERROR($V5),"Enter smelter details","RMI"),IF(ISERROR($V5),"",OFFSET('Smelter Look-up'!$F$4,$V5-4,0)))</f>
        <v>RMI</v>
      </c>
      <c r="H5" s="183">
        <f ca="1">IF(ISERROR($V5),"",OFFSET('Smelter Look-up'!$G$4,$V5-4,0))</f>
        <v>0</v>
      </c>
      <c r="I5" s="184" t="str">
        <f ca="1">IF(ISERROR($V5),"",OFFSET('Smelter Look-up'!$H$4,$V5-4,0))</f>
        <v>Fanling</v>
      </c>
      <c r="J5" s="184" t="str">
        <f ca="1">IF(ISERROR($V5),"",OFFSET('Smelter Look-up'!$I$4,$V5-4,0))</f>
        <v>Hong Kong SAR</v>
      </c>
      <c r="K5" s="224"/>
      <c r="L5" s="224"/>
      <c r="M5" s="224"/>
      <c r="N5" s="224"/>
      <c r="O5" s="224"/>
      <c r="P5" s="185"/>
      <c r="Q5" s="225" t="s">
        <v>15862</v>
      </c>
      <c r="R5" s="182" t="str">
        <f ca="1">IF(ISERROR($V5),"",OFFSET('Smelter Look-up'!$C$4,$V5-4,0)&amp;"")</f>
        <v>Heraeus Metals Hong Kong Ltd.</v>
      </c>
      <c r="S5" s="181" t="str">
        <f ca="1">IF(B5="","",IF(ISERROR(MATCH($E5,CL,0)),"Unknown",INDIRECT("'C'!$A$"&amp;MATCH($E5,CL,0)+1)))</f>
        <v>CN</v>
      </c>
      <c r="T5" s="181" t="str">
        <f ca="1">IF(B5="","",IF(ISERROR(MATCH($J5,SorP!$B$1:$B$6226,0)),"",INDIRECT("'SorP'!$A$"&amp;MATCH($S5&amp;$J5,SorP!C:C,0))))</f>
        <v>CN-HK</v>
      </c>
      <c r="U5" s="201"/>
      <c r="V5" s="226">
        <f ca="1">IF(C5="",NA(),IF(OR(C5="Smelter not listed",C5="Smelter not yet identified"),MATCH($B5&amp;$D5,'Smelter Look-up'!$J:$J,0),MATCH($B5&amp;$C5,'Smelter Look-up'!$J:$J,0)))</f>
        <v>111</v>
      </c>
      <c r="X5" s="227">
        <f t="shared" ref="X5" ca="1" si="0">IF(AND(C5="Smelter not listed",OR(LEN(D5)=0,LEN(E5)=0)),1,0)</f>
        <v>0</v>
      </c>
      <c r="AB5" s="228" t="str">
        <f t="shared" ref="AB5" ca="1" si="1">B5&amp;C5</f>
        <v>GoldHeraeus Metals Hong Kong Ltd.</v>
      </c>
    </row>
    <row r="6" spans="1:34" s="227" customFormat="1" ht="20" customHeight="1">
      <c r="A6" s="262" t="s">
        <v>650</v>
      </c>
      <c r="B6" s="182" t="str">
        <f ca="1">IF(LEN(A6)=0,"",INDEX('Smelter Look-up'!$A:$A,MATCH($A6,'Smelter Look-up'!$E:$E,0)))</f>
        <v>Gold</v>
      </c>
      <c r="C6" s="186" t="str">
        <f ca="1">IF(LEN(A6)=0,"",INDEX('Smelter Look-up'!$C:$C,MATCH($A6,'Smelter Look-up'!$E:$E,0)))</f>
        <v>Argor-Heraeus S.A.</v>
      </c>
      <c r="D6" s="230"/>
      <c r="E6" s="182" t="str">
        <f ca="1">IF(ISERROR($V6),"",OFFSET('Smelter Look-up'!$D$4,$V6-4,0)&amp;"")</f>
        <v>SWITZERLAND</v>
      </c>
      <c r="F6" s="182" t="str">
        <f ca="1">IF(ISERROR($V6),"",OFFSET('Smelter Look-up'!$E$4,$V6-4,0))</f>
        <v>CID000077</v>
      </c>
      <c r="G6" s="182" t="str">
        <f ca="1">IF(C6=$X$4,IF(ISERROR($V6),"Enter smelter details","RMI"),IF(ISERROR($V6),"",OFFSET('Smelter Look-up'!$F$4,$V6-4,0)))</f>
        <v>RMI</v>
      </c>
      <c r="H6" s="183">
        <f ca="1">IF(ISERROR($V6),"",OFFSET('Smelter Look-up'!$G$4,$V6-4,0))</f>
        <v>0</v>
      </c>
      <c r="I6" s="184" t="str">
        <f ca="1">IF(ISERROR($V6),"",OFFSET('Smelter Look-up'!$H$4,$V6-4,0))</f>
        <v>Mendrisio</v>
      </c>
      <c r="J6" s="184" t="str">
        <f ca="1">IF(ISERROR($V6),"",OFFSET('Smelter Look-up'!$I$4,$V6-4,0))</f>
        <v>Ticino</v>
      </c>
      <c r="K6" s="224"/>
      <c r="L6" s="224"/>
      <c r="M6" s="224"/>
      <c r="N6" s="224"/>
      <c r="O6" s="224"/>
      <c r="P6" s="185"/>
      <c r="Q6" s="225" t="s">
        <v>15862</v>
      </c>
      <c r="R6" s="182" t="str">
        <f ca="1">IF(ISERROR($V6),"",OFFSET('Smelter Look-up'!$C$4,$V6-4,0)&amp;"")</f>
        <v>Argor-Heraeus S.A.</v>
      </c>
      <c r="S6" s="181" t="str">
        <f t="shared" ref="S6:S37" ca="1" si="2">IF(B6="","",IF(ISERROR(MATCH($E6,CL,0)),"Unknown",INDIRECT("'C'!$A$"&amp;MATCH($E6,CL,0)+1)))</f>
        <v>CH</v>
      </c>
      <c r="T6" s="181" t="str">
        <f ca="1">IF(B6="","",IF(ISERROR(MATCH($J6,SorP!$B$1:$B$6226,0)),"",INDIRECT("'SorP'!$A$"&amp;MATCH($S6&amp;$J6,SorP!C:C,0))))</f>
        <v>CH-TI</v>
      </c>
      <c r="U6" s="201"/>
      <c r="V6" s="226">
        <f ca="1">IF(C6="",NA(),IF(OR(C6="Smelter not listed",C6="Smelter not yet identified"),MATCH($B6&amp;$D6,'Smelter Look-up'!$J:$J,0),MATCH($B6&amp;$C6,'Smelter Look-up'!$J:$J,0)))</f>
        <v>28</v>
      </c>
      <c r="X6" s="227">
        <f t="shared" ref="X6:X37" ca="1" si="3">IF(AND(C6="Smelter not listed",OR(LEN(D6)=0,LEN(E6)=0)),1,0)</f>
        <v>0</v>
      </c>
      <c r="AB6" s="228" t="str">
        <f t="shared" ref="AB6:AB37" ca="1" si="4">B6&amp;C6</f>
        <v>GoldArgor-Heraeus S.A.</v>
      </c>
    </row>
    <row r="7" spans="1:34" s="227" customFormat="1" ht="20" customHeight="1">
      <c r="A7" s="262" t="s">
        <v>1612</v>
      </c>
      <c r="B7" s="182" t="str">
        <f ca="1">IF(LEN(A7)=0,"",INDEX('Smelter Look-up'!$A:$A,MATCH($A7,'Smelter Look-up'!$E:$E,0)))</f>
        <v>Gold</v>
      </c>
      <c r="C7" s="186" t="str">
        <f ca="1">IF(LEN(A7)=0,"",INDEX('Smelter Look-up'!$C:$C,MATCH($A7,'Smelter Look-up'!$E:$E,0)))</f>
        <v>Metalor Technologies (Suzhou) Ltd.</v>
      </c>
      <c r="D7" s="230"/>
      <c r="E7" s="182" t="str">
        <f ca="1">IF(ISERROR($V7),"",OFFSET('Smelter Look-up'!$D$4,$V7-4,0)&amp;"")</f>
        <v>CHINA</v>
      </c>
      <c r="F7" s="182" t="str">
        <f ca="1">IF(ISERROR($V7),"",OFFSET('Smelter Look-up'!$E$4,$V7-4,0))</f>
        <v>CID001147</v>
      </c>
      <c r="G7" s="182" t="str">
        <f ca="1">IF(C7=$X$4,IF(ISERROR($V7),"Enter smelter details","RMI"),IF(ISERROR($V7),"",OFFSET('Smelter Look-up'!$F$4,$V7-4,0)))</f>
        <v>RMI</v>
      </c>
      <c r="H7" s="183">
        <f ca="1">IF(ISERROR($V7),"",OFFSET('Smelter Look-up'!$G$4,$V7-4,0))</f>
        <v>0</v>
      </c>
      <c r="I7" s="184" t="str">
        <f ca="1">IF(ISERROR($V7),"",OFFSET('Smelter Look-up'!$H$4,$V7-4,0))</f>
        <v>Suzhou</v>
      </c>
      <c r="J7" s="184" t="str">
        <f ca="1">IF(ISERROR($V7),"",OFFSET('Smelter Look-up'!$I$4,$V7-4,0))</f>
        <v>Jiangsu Sheng</v>
      </c>
      <c r="K7" s="224"/>
      <c r="L7" s="224"/>
      <c r="M7" s="224"/>
      <c r="N7" s="224"/>
      <c r="O7" s="224"/>
      <c r="P7" s="185"/>
      <c r="Q7" s="225" t="s">
        <v>15862</v>
      </c>
      <c r="R7" s="182" t="str">
        <f ca="1">IF(ISERROR($V7),"",OFFSET('Smelter Look-up'!$C$4,$V7-4,0)&amp;"")</f>
        <v>Metalor Technologies (Suzhou) Ltd.</v>
      </c>
      <c r="S7" s="181" t="str">
        <f t="shared" ca="1" si="2"/>
        <v>CN</v>
      </c>
      <c r="T7" s="181" t="str">
        <f ca="1">IF(B7="","",IF(ISERROR(MATCH($J7,SorP!$B$1:$B$6226,0)),"",INDIRECT("'SorP'!$A$"&amp;MATCH($S7&amp;$J7,SorP!C:C,0))))</f>
        <v>CN-JS</v>
      </c>
      <c r="U7" s="201"/>
      <c r="V7" s="226">
        <f ca="1">IF(C7="",NA(),IF(OR(C7="Smelter not listed",C7="Smelter not yet identified"),MATCH($B7&amp;$D7,'Smelter Look-up'!$J:$J,0),MATCH($B7&amp;$C7,'Smelter Look-up'!$J:$J,0)))</f>
        <v>185</v>
      </c>
      <c r="X7" s="227">
        <f t="shared" ca="1" si="3"/>
        <v>0</v>
      </c>
      <c r="AB7" s="228" t="str">
        <f t="shared" ca="1" si="4"/>
        <v>GoldMetalor Technologies (Suzhou) Ltd.</v>
      </c>
    </row>
    <row r="8" spans="1:34" s="227" customFormat="1" ht="20" customHeight="1">
      <c r="A8" s="262" t="s">
        <v>699</v>
      </c>
      <c r="B8" s="182" t="str">
        <f ca="1">IF(LEN(A8)=0,"",INDEX('Smelter Look-up'!$A:$A,MATCH($A8,'Smelter Look-up'!$E:$E,0)))</f>
        <v>Gold</v>
      </c>
      <c r="C8" s="186" t="str">
        <f ca="1">IF(LEN(A8)=0,"",INDEX('Smelter Look-up'!$C:$C,MATCH($A8,'Smelter Look-up'!$E:$E,0)))</f>
        <v>Metalor Technologies (Hong Kong) Ltd.</v>
      </c>
      <c r="D8" s="230"/>
      <c r="E8" s="182" t="str">
        <f ca="1">IF(ISERROR($V8),"",OFFSET('Smelter Look-up'!$D$4,$V8-4,0)&amp;"")</f>
        <v>CHINA</v>
      </c>
      <c r="F8" s="182" t="str">
        <f ca="1">IF(ISERROR($V8),"",OFFSET('Smelter Look-up'!$E$4,$V8-4,0))</f>
        <v>CID001149</v>
      </c>
      <c r="G8" s="182" t="str">
        <f ca="1">IF(C8=$X$4,IF(ISERROR($V8),"Enter smelter details","RMI"),IF(ISERROR($V8),"",OFFSET('Smelter Look-up'!$F$4,$V8-4,0)))</f>
        <v>RMI</v>
      </c>
      <c r="H8" s="183">
        <f ca="1">IF(ISERROR($V8),"",OFFSET('Smelter Look-up'!$G$4,$V8-4,0))</f>
        <v>0</v>
      </c>
      <c r="I8" s="184" t="str">
        <f ca="1">IF(ISERROR($V8),"",OFFSET('Smelter Look-up'!$H$4,$V8-4,0))</f>
        <v>Kwai Chung</v>
      </c>
      <c r="J8" s="184" t="str">
        <f ca="1">IF(ISERROR($V8),"",OFFSET('Smelter Look-up'!$I$4,$V8-4,0))</f>
        <v>Hong Kong SAR</v>
      </c>
      <c r="K8" s="224"/>
      <c r="L8" s="224"/>
      <c r="M8" s="224"/>
      <c r="N8" s="224"/>
      <c r="O8" s="224"/>
      <c r="P8" s="185"/>
      <c r="Q8" s="225" t="s">
        <v>15862</v>
      </c>
      <c r="R8" s="182" t="str">
        <f ca="1">IF(ISERROR($V8),"",OFFSET('Smelter Look-up'!$C$4,$V8-4,0)&amp;"")</f>
        <v>Metalor Technologies (Hong Kong) Ltd.</v>
      </c>
      <c r="S8" s="181" t="str">
        <f t="shared" ca="1" si="2"/>
        <v>CN</v>
      </c>
      <c r="T8" s="181" t="str">
        <f ca="1">IF(B8="","",IF(ISERROR(MATCH($J8,SorP!$B$1:$B$6226,0)),"",INDIRECT("'SorP'!$A$"&amp;MATCH($S8&amp;$J8,SorP!C:C,0))))</f>
        <v>CN-HK</v>
      </c>
      <c r="U8" s="201"/>
      <c r="V8" s="226">
        <f ca="1">IF(C8="",NA(),IF(OR(C8="Smelter not listed",C8="Smelter not yet identified"),MATCH($B8&amp;$D8,'Smelter Look-up'!$J:$J,0),MATCH($B8&amp;$C8,'Smelter Look-up'!$J:$J,0)))</f>
        <v>183</v>
      </c>
      <c r="X8" s="227">
        <f t="shared" ca="1" si="3"/>
        <v>0</v>
      </c>
      <c r="AB8" s="228" t="str">
        <f t="shared" ca="1" si="4"/>
        <v>GoldMetalor Technologies (Hong Kong) Ltd.</v>
      </c>
    </row>
    <row r="9" spans="1:34" s="227" customFormat="1" ht="20" customHeight="1">
      <c r="A9" s="262" t="s">
        <v>700</v>
      </c>
      <c r="B9" s="182" t="str">
        <f ca="1">IF(LEN(A9)=0,"",INDEX('Smelter Look-up'!$A:$A,MATCH($A9,'Smelter Look-up'!$E:$E,0)))</f>
        <v>Gold</v>
      </c>
      <c r="C9" s="186" t="str">
        <f ca="1">IF(LEN(A9)=0,"",INDEX('Smelter Look-up'!$C:$C,MATCH($A9,'Smelter Look-up'!$E:$E,0)))</f>
        <v>Metalor Technologies (Singapore) Pte., Ltd.</v>
      </c>
      <c r="D9" s="230"/>
      <c r="E9" s="182" t="str">
        <f ca="1">IF(ISERROR($V9),"",OFFSET('Smelter Look-up'!$D$4,$V9-4,0)&amp;"")</f>
        <v>SINGAPORE</v>
      </c>
      <c r="F9" s="182" t="str">
        <f ca="1">IF(ISERROR($V9),"",OFFSET('Smelter Look-up'!$E$4,$V9-4,0))</f>
        <v>CID001152</v>
      </c>
      <c r="G9" s="182" t="str">
        <f ca="1">IF(C9=$X$4,IF(ISERROR($V9),"Enter smelter details","RMI"),IF(ISERROR($V9),"",OFFSET('Smelter Look-up'!$F$4,$V9-4,0)))</f>
        <v>RMI</v>
      </c>
      <c r="H9" s="183">
        <f ca="1">IF(ISERROR($V9),"",OFFSET('Smelter Look-up'!$G$4,$V9-4,0))</f>
        <v>0</v>
      </c>
      <c r="I9" s="184" t="str">
        <f ca="1">IF(ISERROR($V9),"",OFFSET('Smelter Look-up'!$H$4,$V9-4,0))</f>
        <v>Singapore</v>
      </c>
      <c r="J9" s="184" t="str">
        <f ca="1">IF(ISERROR($V9),"",OFFSET('Smelter Look-up'!$I$4,$V9-4,0))</f>
        <v>South West</v>
      </c>
      <c r="K9" s="224"/>
      <c r="L9" s="224"/>
      <c r="M9" s="224"/>
      <c r="N9" s="224"/>
      <c r="O9" s="224"/>
      <c r="P9" s="185"/>
      <c r="Q9" s="225" t="s">
        <v>15862</v>
      </c>
      <c r="R9" s="182" t="str">
        <f ca="1">IF(ISERROR($V9),"",OFFSET('Smelter Look-up'!$C$4,$V9-4,0)&amp;"")</f>
        <v>Metalor Technologies (Singapore) Pte., Ltd.</v>
      </c>
      <c r="S9" s="181" t="str">
        <f t="shared" ca="1" si="2"/>
        <v>SG</v>
      </c>
      <c r="T9" s="181" t="str">
        <f ca="1">IF(B9="","",IF(ISERROR(MATCH($J9,SorP!$B$1:$B$6226,0)),"",INDIRECT("'SorP'!$A$"&amp;MATCH($S9&amp;$J9,SorP!C:C,0))))</f>
        <v>SG-05</v>
      </c>
      <c r="U9" s="201"/>
      <c r="V9" s="226">
        <f ca="1">IF(C9="",NA(),IF(OR(C9="Smelter not listed",C9="Smelter not yet identified"),MATCH($B9&amp;$D9,'Smelter Look-up'!$J:$J,0),MATCH($B9&amp;$C9,'Smelter Look-up'!$J:$J,0)))</f>
        <v>184</v>
      </c>
      <c r="X9" s="227">
        <f t="shared" ca="1" si="3"/>
        <v>0</v>
      </c>
      <c r="AB9" s="228" t="str">
        <f t="shared" ca="1" si="4"/>
        <v>GoldMetalor Technologies (Singapore) Pte., Ltd.</v>
      </c>
    </row>
    <row r="10" spans="1:34" s="227" customFormat="1" ht="20" customHeight="1">
      <c r="A10" s="262" t="s">
        <v>701</v>
      </c>
      <c r="B10" s="182" t="str">
        <f ca="1">IF(LEN(A10)=0,"",INDEX('Smelter Look-up'!$A:$A,MATCH($A10,'Smelter Look-up'!$E:$E,0)))</f>
        <v>Gold</v>
      </c>
      <c r="C10" s="186" t="str">
        <f ca="1">IF(LEN(A10)=0,"",INDEX('Smelter Look-up'!$C:$C,MATCH($A10,'Smelter Look-up'!$E:$E,0)))</f>
        <v>Metalor Technologies S.A.</v>
      </c>
      <c r="D10" s="230"/>
      <c r="E10" s="182" t="str">
        <f ca="1">IF(ISERROR($V10),"",OFFSET('Smelter Look-up'!$D$4,$V10-4,0)&amp;"")</f>
        <v>SWITZERLAND</v>
      </c>
      <c r="F10" s="182" t="str">
        <f ca="1">IF(ISERROR($V10),"",OFFSET('Smelter Look-up'!$E$4,$V10-4,0))</f>
        <v>CID001153</v>
      </c>
      <c r="G10" s="182" t="str">
        <f ca="1">IF(C10=$X$4,IF(ISERROR($V10),"Enter smelter details","RMI"),IF(ISERROR($V10),"",OFFSET('Smelter Look-up'!$F$4,$V10-4,0)))</f>
        <v>RMI</v>
      </c>
      <c r="H10" s="183">
        <f ca="1">IF(ISERROR($V10),"",OFFSET('Smelter Look-up'!$G$4,$V10-4,0))</f>
        <v>0</v>
      </c>
      <c r="I10" s="184" t="str">
        <f ca="1">IF(ISERROR($V10),"",OFFSET('Smelter Look-up'!$H$4,$V10-4,0))</f>
        <v>Marin</v>
      </c>
      <c r="J10" s="184" t="str">
        <f ca="1">IF(ISERROR($V10),"",OFFSET('Smelter Look-up'!$I$4,$V10-4,0))</f>
        <v>Neuchâtel</v>
      </c>
      <c r="K10" s="224"/>
      <c r="L10" s="224"/>
      <c r="M10" s="224"/>
      <c r="N10" s="224"/>
      <c r="O10" s="224"/>
      <c r="P10" s="185"/>
      <c r="Q10" s="225" t="s">
        <v>15862</v>
      </c>
      <c r="R10" s="182" t="str">
        <f ca="1">IF(ISERROR($V10),"",OFFSET('Smelter Look-up'!$C$4,$V10-4,0)&amp;"")</f>
        <v>Metalor Technologies S.A.</v>
      </c>
      <c r="S10" s="181" t="str">
        <f t="shared" ca="1" si="2"/>
        <v>CH</v>
      </c>
      <c r="T10" s="181" t="str">
        <f ca="1">IF(B10="","",IF(ISERROR(MATCH($J10,SorP!$B$1:$B$6226,0)),"",INDIRECT("'SorP'!$A$"&amp;MATCH($S10&amp;$J10,SorP!C:C,0))))</f>
        <v>CH-NE</v>
      </c>
      <c r="U10" s="201"/>
      <c r="V10" s="226">
        <f ca="1">IF(C10="",NA(),IF(OR(C10="Smelter not listed",C10="Smelter not yet identified"),MATCH($B10&amp;$D10,'Smelter Look-up'!$J:$J,0),MATCH($B10&amp;$C10,'Smelter Look-up'!$J:$J,0)))</f>
        <v>186</v>
      </c>
      <c r="X10" s="227">
        <f t="shared" ca="1" si="3"/>
        <v>0</v>
      </c>
      <c r="AB10" s="228" t="str">
        <f t="shared" ca="1" si="4"/>
        <v>GoldMetalor Technologies S.A.</v>
      </c>
    </row>
    <row r="11" spans="1:34" s="227" customFormat="1" ht="20" customHeight="1">
      <c r="A11" s="262" t="s">
        <v>702</v>
      </c>
      <c r="B11" s="182" t="str">
        <f ca="1">IF(LEN(A11)=0,"",INDEX('Smelter Look-up'!$A:$A,MATCH($A11,'Smelter Look-up'!$E:$E,0)))</f>
        <v>Gold</v>
      </c>
      <c r="C11" s="186" t="str">
        <f ca="1">IF(LEN(A11)=0,"",INDEX('Smelter Look-up'!$C:$C,MATCH($A11,'Smelter Look-up'!$E:$E,0)))</f>
        <v>Metalor USA Refining Corporation</v>
      </c>
      <c r="D11" s="230"/>
      <c r="E11" s="182" t="str">
        <f ca="1">IF(ISERROR($V11),"",OFFSET('Smelter Look-up'!$D$4,$V11-4,0)&amp;"")</f>
        <v>UNITED STATES OF AMERICA</v>
      </c>
      <c r="F11" s="182" t="str">
        <f ca="1">IF(ISERROR($V11),"",OFFSET('Smelter Look-up'!$E$4,$V11-4,0))</f>
        <v>CID001157</v>
      </c>
      <c r="G11" s="182" t="str">
        <f ca="1">IF(C11=$X$4,IF(ISERROR($V11),"Enter smelter details","RMI"),IF(ISERROR($V11),"",OFFSET('Smelter Look-up'!$F$4,$V11-4,0)))</f>
        <v>RMI</v>
      </c>
      <c r="H11" s="183">
        <f ca="1">IF(ISERROR($V11),"",OFFSET('Smelter Look-up'!$G$4,$V11-4,0))</f>
        <v>0</v>
      </c>
      <c r="I11" s="184" t="str">
        <f ca="1">IF(ISERROR($V11),"",OFFSET('Smelter Look-up'!$H$4,$V11-4,0))</f>
        <v>North Attleboro</v>
      </c>
      <c r="J11" s="184" t="str">
        <f ca="1">IF(ISERROR($V11),"",OFFSET('Smelter Look-up'!$I$4,$V11-4,0))</f>
        <v>Massachusetts</v>
      </c>
      <c r="K11" s="224"/>
      <c r="L11" s="224"/>
      <c r="M11" s="224"/>
      <c r="N11" s="224"/>
      <c r="O11" s="224"/>
      <c r="P11" s="185"/>
      <c r="Q11" s="225" t="s">
        <v>15862</v>
      </c>
      <c r="R11" s="182" t="str">
        <f ca="1">IF(ISERROR($V11),"",OFFSET('Smelter Look-up'!$C$4,$V11-4,0)&amp;"")</f>
        <v>Metalor USA Refining Corporation</v>
      </c>
      <c r="S11" s="181" t="str">
        <f t="shared" ca="1" si="2"/>
        <v>US</v>
      </c>
      <c r="T11" s="181" t="str">
        <f ca="1">IF(B11="","",IF(ISERROR(MATCH($J11,SorP!$B$1:$B$6226,0)),"",INDIRECT("'SorP'!$A$"&amp;MATCH($S11&amp;$J11,SorP!C:C,0))))</f>
        <v>US-MA</v>
      </c>
      <c r="U11" s="201"/>
      <c r="V11" s="226">
        <f ca="1">IF(C11="",NA(),IF(OR(C11="Smelter not listed",C11="Smelter not yet identified"),MATCH($B11&amp;$D11,'Smelter Look-up'!$J:$J,0),MATCH($B11&amp;$C11,'Smelter Look-up'!$J:$J,0)))</f>
        <v>187</v>
      </c>
      <c r="X11" s="227">
        <f t="shared" ca="1" si="3"/>
        <v>0</v>
      </c>
      <c r="AB11" s="228" t="str">
        <f t="shared" ca="1" si="4"/>
        <v>GoldMetalor USA Refining Corporation</v>
      </c>
    </row>
    <row r="12" spans="1:34" s="227" customFormat="1" ht="20" customHeight="1">
      <c r="A12" s="262" t="s">
        <v>782</v>
      </c>
      <c r="B12" s="182" t="str">
        <f ca="1">IF(LEN(A12)=0,"",INDEX('Smelter Look-up'!$A:$A,MATCH($A12,'Smelter Look-up'!$E:$E,0)))</f>
        <v>Tin</v>
      </c>
      <c r="C12" s="186" t="str">
        <f ca="1">IF(LEN(A12)=0,"",INDEX('Smelter Look-up'!$C:$C,MATCH($A12,'Smelter Look-up'!$E:$E,0)))</f>
        <v>Tin Smelting Branch of Yunnan Tin Co., Ltd.</v>
      </c>
      <c r="D12" s="230"/>
      <c r="E12" s="182" t="str">
        <f ca="1">IF(ISERROR($V12),"",OFFSET('Smelter Look-up'!$D$4,$V12-4,0)&amp;"")</f>
        <v>CHINA</v>
      </c>
      <c r="F12" s="182" t="str">
        <f ca="1">IF(ISERROR($V12),"",OFFSET('Smelter Look-up'!$E$4,$V12-4,0))</f>
        <v>CID002180</v>
      </c>
      <c r="G12" s="182" t="str">
        <f ca="1">IF(C12=$X$4,IF(ISERROR($V12),"Enter smelter details","RMI"),IF(ISERROR($V12),"",OFFSET('Smelter Look-up'!$F$4,$V12-4,0)))</f>
        <v>RMI</v>
      </c>
      <c r="H12" s="183">
        <f ca="1">IF(ISERROR($V12),"",OFFSET('Smelter Look-up'!$G$4,$V12-4,0))</f>
        <v>0</v>
      </c>
      <c r="I12" s="184" t="str">
        <f ca="1">IF(ISERROR($V12),"",OFFSET('Smelter Look-up'!$H$4,$V12-4,0))</f>
        <v>Gejiu</v>
      </c>
      <c r="J12" s="184" t="str">
        <f ca="1">IF(ISERROR($V12),"",OFFSET('Smelter Look-up'!$I$4,$V12-4,0))</f>
        <v>Yunnan Sheng</v>
      </c>
      <c r="K12" s="224"/>
      <c r="L12" s="224"/>
      <c r="M12" s="224"/>
      <c r="N12" s="224"/>
      <c r="O12" s="224"/>
      <c r="P12" s="185"/>
      <c r="Q12" s="225" t="s">
        <v>15862</v>
      </c>
      <c r="R12" s="182" t="str">
        <f ca="1">IF(ISERROR($V12),"",OFFSET('Smelter Look-up'!$C$4,$V12-4,0)&amp;"")</f>
        <v>Tin Smelting Branch of Yunnan Tin Co., Ltd.</v>
      </c>
      <c r="S12" s="181" t="str">
        <f t="shared" ca="1" si="2"/>
        <v>CN</v>
      </c>
      <c r="T12" s="181" t="str">
        <f ca="1">IF(B12="","",IF(ISERROR(MATCH($J12,SorP!$B$1:$B$6226,0)),"",INDIRECT("'SorP'!$A$"&amp;MATCH($S12&amp;$J12,SorP!C:C,0))))</f>
        <v>CN-YN</v>
      </c>
      <c r="U12" s="201"/>
      <c r="V12" s="226">
        <f ca="1">IF(C12="",NA(),IF(OR(C12="Smelter not listed",C12="Smelter not yet identified"),MATCH($B12&amp;$D12,'Smelter Look-up'!$J:$J,0),MATCH($B12&amp;$C12,'Smelter Look-up'!$J:$J,0)))</f>
        <v>550</v>
      </c>
      <c r="X12" s="227">
        <f t="shared" ca="1" si="3"/>
        <v>0</v>
      </c>
      <c r="AB12" s="228" t="str">
        <f t="shared" ca="1" si="4"/>
        <v>TinTin Smelting Branch of Yunnan Tin Co., Ltd.</v>
      </c>
    </row>
    <row r="13" spans="1:34" s="227" customFormat="1" ht="20" customHeight="1">
      <c r="A13" s="262" t="s">
        <v>776</v>
      </c>
      <c r="B13" s="182" t="str">
        <f ca="1">IF(LEN(A13)=0,"",INDEX('Smelter Look-up'!$A:$A,MATCH($A13,'Smelter Look-up'!$E:$E,0)))</f>
        <v>Tin</v>
      </c>
      <c r="C13" s="186" t="str">
        <f ca="1">IF(LEN(A13)=0,"",INDEX('Smelter Look-up'!$C:$C,MATCH($A13,'Smelter Look-up'!$E:$E,0)))</f>
        <v>PT Timah Tbk Mentok</v>
      </c>
      <c r="D13" s="230"/>
      <c r="E13" s="182" t="str">
        <f ca="1">IF(ISERROR($V13),"",OFFSET('Smelter Look-up'!$D$4,$V13-4,0)&amp;"")</f>
        <v>INDONESIA</v>
      </c>
      <c r="F13" s="182" t="str">
        <f ca="1">IF(ISERROR($V13),"",OFFSET('Smelter Look-up'!$E$4,$V13-4,0))</f>
        <v>CID001482</v>
      </c>
      <c r="G13" s="182" t="str">
        <f ca="1">IF(C13=$X$4,IF(ISERROR($V13),"Enter smelter details","RMI"),IF(ISERROR($V13),"",OFFSET('Smelter Look-up'!$F$4,$V13-4,0)))</f>
        <v>RMI</v>
      </c>
      <c r="H13" s="183">
        <f ca="1">IF(ISERROR($V13),"",OFFSET('Smelter Look-up'!$G$4,$V13-4,0))</f>
        <v>0</v>
      </c>
      <c r="I13" s="184" t="str">
        <f ca="1">IF(ISERROR($V13),"",OFFSET('Smelter Look-up'!$H$4,$V13-4,0))</f>
        <v>Mentok</v>
      </c>
      <c r="J13" s="184" t="str">
        <f ca="1">IF(ISERROR($V13),"",OFFSET('Smelter Look-up'!$I$4,$V13-4,0))</f>
        <v>Kepulauan Bangka Belitung</v>
      </c>
      <c r="K13" s="224"/>
      <c r="L13" s="224"/>
      <c r="M13" s="224"/>
      <c r="N13" s="224"/>
      <c r="O13" s="224"/>
      <c r="P13" s="185"/>
      <c r="Q13" s="225" t="s">
        <v>15862</v>
      </c>
      <c r="R13" s="182" t="str">
        <f ca="1">IF(ISERROR($V13),"",OFFSET('Smelter Look-up'!$C$4,$V13-4,0)&amp;"")</f>
        <v>PT Timah Tbk Mentok</v>
      </c>
      <c r="S13" s="181" t="str">
        <f t="shared" ca="1" si="2"/>
        <v>ID</v>
      </c>
      <c r="T13" s="181" t="str">
        <f ca="1">IF(B13="","",IF(ISERROR(MATCH($J13,SorP!$B$1:$B$6226,0)),"",INDIRECT("'SorP'!$A$"&amp;MATCH($S13&amp;$J13,SorP!C:C,0))))</f>
        <v>ID-BB</v>
      </c>
      <c r="U13" s="201"/>
      <c r="V13" s="226">
        <f ca="1">IF(C13="",NA(),IF(OR(C13="Smelter not listed",C13="Smelter not yet identified"),MATCH($B13&amp;$D13,'Smelter Look-up'!$J:$J,0),MATCH($B13&amp;$C13,'Smelter Look-up'!$J:$J,0)))</f>
        <v>533</v>
      </c>
      <c r="X13" s="227">
        <f t="shared" ca="1" si="3"/>
        <v>0</v>
      </c>
      <c r="AB13" s="228" t="str">
        <f t="shared" ca="1" si="4"/>
        <v>TinPT Timah Tbk Mentok</v>
      </c>
    </row>
    <row r="14" spans="1:34" s="227" customFormat="1" ht="20" customHeight="1">
      <c r="A14" s="262" t="s">
        <v>762</v>
      </c>
      <c r="B14" s="182" t="str">
        <f ca="1">IF(LEN(A14)=0,"",INDEX('Smelter Look-up'!$A:$A,MATCH($A14,'Smelter Look-up'!$E:$E,0)))</f>
        <v>Tin</v>
      </c>
      <c r="C14" s="186" t="str">
        <f ca="1">IF(LEN(A14)=0,"",INDEX('Smelter Look-up'!$C:$C,MATCH($A14,'Smelter Look-up'!$E:$E,0)))</f>
        <v>Gejiu Non-Ferrous Metal Processing Co., Ltd.</v>
      </c>
      <c r="D14" s="230"/>
      <c r="E14" s="182" t="str">
        <f ca="1">IF(ISERROR($V14),"",OFFSET('Smelter Look-up'!$D$4,$V14-4,0)&amp;"")</f>
        <v>CHINA</v>
      </c>
      <c r="F14" s="182" t="str">
        <f ca="1">IF(ISERROR($V14),"",OFFSET('Smelter Look-up'!$E$4,$V14-4,0))</f>
        <v>CID000538</v>
      </c>
      <c r="G14" s="182" t="str">
        <f ca="1">IF(C14=$X$4,IF(ISERROR($V14),"Enter smelter details","RMI"),IF(ISERROR($V14),"",OFFSET('Smelter Look-up'!$F$4,$V14-4,0)))</f>
        <v>RMI</v>
      </c>
      <c r="H14" s="183">
        <f ca="1">IF(ISERROR($V14),"",OFFSET('Smelter Look-up'!$G$4,$V14-4,0))</f>
        <v>0</v>
      </c>
      <c r="I14" s="184" t="str">
        <f ca="1">IF(ISERROR($V14),"",OFFSET('Smelter Look-up'!$H$4,$V14-4,0))</f>
        <v>Gejiu</v>
      </c>
      <c r="J14" s="184" t="str">
        <f ca="1">IF(ISERROR($V14),"",OFFSET('Smelter Look-up'!$I$4,$V14-4,0))</f>
        <v>Yunnan Sheng</v>
      </c>
      <c r="K14" s="224"/>
      <c r="L14" s="224"/>
      <c r="M14" s="224"/>
      <c r="N14" s="224"/>
      <c r="O14" s="224"/>
      <c r="P14" s="185"/>
      <c r="Q14" s="225" t="s">
        <v>15862</v>
      </c>
      <c r="R14" s="182" t="str">
        <f ca="1">IF(ISERROR($V14),"",OFFSET('Smelter Look-up'!$C$4,$V14-4,0)&amp;"")</f>
        <v>Gejiu Non-Ferrous Metal Processing Co., Ltd.</v>
      </c>
      <c r="S14" s="181" t="str">
        <f t="shared" ca="1" si="2"/>
        <v>CN</v>
      </c>
      <c r="T14" s="181" t="str">
        <f ca="1">IF(B14="","",IF(ISERROR(MATCH($J14,SorP!$B$1:$B$6226,0)),"",INDIRECT("'SorP'!$A$"&amp;MATCH($S14&amp;$J14,SorP!C:C,0))))</f>
        <v>CN-YN</v>
      </c>
      <c r="U14" s="201"/>
      <c r="V14" s="226">
        <f ca="1">IF(C14="",NA(),IF(OR(C14="Smelter not listed",C14="Smelter not yet identified"),MATCH($B14&amp;$D14,'Smelter Look-up'!$J:$J,0),MATCH($B14&amp;$C14,'Smelter Look-up'!$J:$J,0)))</f>
        <v>448</v>
      </c>
      <c r="X14" s="227">
        <f t="shared" ca="1" si="3"/>
        <v>0</v>
      </c>
      <c r="AB14" s="228" t="str">
        <f t="shared" ca="1" si="4"/>
        <v>TinGejiu Non-Ferrous Metal Processing Co., Ltd.</v>
      </c>
    </row>
    <row r="15" spans="1:34" s="227" customFormat="1" ht="20" customHeight="1">
      <c r="A15" s="262" t="s">
        <v>766</v>
      </c>
      <c r="B15" s="182" t="str">
        <f ca="1">IF(LEN(A15)=0,"",INDEX('Smelter Look-up'!$A:$A,MATCH($A15,'Smelter Look-up'!$E:$E,0)))</f>
        <v>Tin</v>
      </c>
      <c r="C15" s="186" t="str">
        <f ca="1">IF(LEN(A15)=0,"",INDEX('Smelter Look-up'!$C:$C,MATCH($A15,'Smelter Look-up'!$E:$E,0)))</f>
        <v>Malaysia Smelting Corporation (MSC)</v>
      </c>
      <c r="D15" s="230"/>
      <c r="E15" s="182" t="str">
        <f ca="1">IF(ISERROR($V15),"",OFFSET('Smelter Look-up'!$D$4,$V15-4,0)&amp;"")</f>
        <v>MALAYSIA</v>
      </c>
      <c r="F15" s="182" t="str">
        <f ca="1">IF(ISERROR($V15),"",OFFSET('Smelter Look-up'!$E$4,$V15-4,0))</f>
        <v>CID001105</v>
      </c>
      <c r="G15" s="182" t="str">
        <f ca="1">IF(C15=$X$4,IF(ISERROR($V15),"Enter smelter details","RMI"),IF(ISERROR($V15),"",OFFSET('Smelter Look-up'!$F$4,$V15-4,0)))</f>
        <v>RMI</v>
      </c>
      <c r="H15" s="183">
        <f ca="1">IF(ISERROR($V15),"",OFFSET('Smelter Look-up'!$G$4,$V15-4,0))</f>
        <v>0</v>
      </c>
      <c r="I15" s="184" t="str">
        <f ca="1">IF(ISERROR($V15),"",OFFSET('Smelter Look-up'!$H$4,$V15-4,0))</f>
        <v>Butterworth</v>
      </c>
      <c r="J15" s="184" t="str">
        <f ca="1">IF(ISERROR($V15),"",OFFSET('Smelter Look-up'!$I$4,$V15-4,0))</f>
        <v>Pulau Pinang</v>
      </c>
      <c r="K15" s="224"/>
      <c r="L15" s="224"/>
      <c r="M15" s="224"/>
      <c r="N15" s="224"/>
      <c r="O15" s="224"/>
      <c r="P15" s="185"/>
      <c r="Q15" s="225" t="s">
        <v>15862</v>
      </c>
      <c r="R15" s="182" t="str">
        <f ca="1">IF(ISERROR($V15),"",OFFSET('Smelter Look-up'!$C$4,$V15-4,0)&amp;"")</f>
        <v>Malaysia Smelting Corporation (MSC)</v>
      </c>
      <c r="S15" s="181" t="str">
        <f t="shared" ca="1" si="2"/>
        <v>MY</v>
      </c>
      <c r="T15" s="181" t="str">
        <f ca="1">IF(B15="","",IF(ISERROR(MATCH($J15,SorP!$B$1:$B$6226,0)),"",INDIRECT("'SorP'!$A$"&amp;MATCH($S15&amp;$J15,SorP!C:C,0))))</f>
        <v>MY-07</v>
      </c>
      <c r="U15" s="201"/>
      <c r="V15" s="226">
        <f ca="1">IF(C15="",NA(),IF(OR(C15="Smelter not listed",C15="Smelter not yet identified"),MATCH($B15&amp;$D15,'Smelter Look-up'!$J:$J,0),MATCH($B15&amp;$C15,'Smelter Look-up'!$J:$J,0)))</f>
        <v>474</v>
      </c>
      <c r="X15" s="227">
        <f t="shared" ca="1" si="3"/>
        <v>0</v>
      </c>
      <c r="AB15" s="228" t="str">
        <f t="shared" ca="1" si="4"/>
        <v>TinMalaysia Smelting Corporation (MSC)</v>
      </c>
    </row>
    <row r="16" spans="1:34" s="227" customFormat="1" ht="20" customHeight="1">
      <c r="A16" s="262" t="s">
        <v>701</v>
      </c>
      <c r="B16" s="182" t="str">
        <f ca="1">IF(LEN(A16)=0,"",INDEX('Smelter Look-up'!$A:$A,MATCH($A16,'Smelter Look-up'!$E:$E,0)))</f>
        <v>Gold</v>
      </c>
      <c r="C16" s="186" t="str">
        <f ca="1">IF(LEN(A16)=0,"",INDEX('Smelter Look-up'!$C:$C,MATCH($A16,'Smelter Look-up'!$E:$E,0)))</f>
        <v>Metalor Technologies S.A.</v>
      </c>
      <c r="D16" s="230"/>
      <c r="E16" s="182" t="str">
        <f ca="1">IF(ISERROR($V16),"",OFFSET('Smelter Look-up'!$D$4,$V16-4,0)&amp;"")</f>
        <v>SWITZERLAND</v>
      </c>
      <c r="F16" s="182" t="str">
        <f ca="1">IF(ISERROR($V16),"",OFFSET('Smelter Look-up'!$E$4,$V16-4,0))</f>
        <v>CID001153</v>
      </c>
      <c r="G16" s="182" t="str">
        <f ca="1">IF(C16=$X$4,IF(ISERROR($V16),"Enter smelter details","RMI"),IF(ISERROR($V16),"",OFFSET('Smelter Look-up'!$F$4,$V16-4,0)))</f>
        <v>RMI</v>
      </c>
      <c r="H16" s="183">
        <f ca="1">IF(ISERROR($V16),"",OFFSET('Smelter Look-up'!$G$4,$V16-4,0))</f>
        <v>0</v>
      </c>
      <c r="I16" s="184" t="str">
        <f ca="1">IF(ISERROR($V16),"",OFFSET('Smelter Look-up'!$H$4,$V16-4,0))</f>
        <v>Marin</v>
      </c>
      <c r="J16" s="184" t="str">
        <f ca="1">IF(ISERROR($V16),"",OFFSET('Smelter Look-up'!$I$4,$V16-4,0))</f>
        <v>Neuchâtel</v>
      </c>
      <c r="K16" s="224"/>
      <c r="L16" s="224"/>
      <c r="M16" s="224"/>
      <c r="N16" s="224"/>
      <c r="O16" s="224"/>
      <c r="P16" s="185"/>
      <c r="Q16" s="225" t="s">
        <v>15862</v>
      </c>
      <c r="R16" s="182" t="str">
        <f ca="1">IF(ISERROR($V16),"",OFFSET('Smelter Look-up'!$C$4,$V16-4,0)&amp;"")</f>
        <v>Metalor Technologies S.A.</v>
      </c>
      <c r="S16" s="181" t="str">
        <f t="shared" ca="1" si="2"/>
        <v>CH</v>
      </c>
      <c r="T16" s="181" t="str">
        <f ca="1">IF(B16="","",IF(ISERROR(MATCH($J16,SorP!$B$1:$B$6226,0)),"",INDIRECT("'SorP'!$A$"&amp;MATCH($S16&amp;$J16,SorP!C:C,0))))</f>
        <v>CH-NE</v>
      </c>
      <c r="U16" s="201"/>
      <c r="V16" s="226">
        <f ca="1">IF(C16="",NA(),IF(OR(C16="Smelter not listed",C16="Smelter not yet identified"),MATCH($B16&amp;$D16,'Smelter Look-up'!$J:$J,0),MATCH($B16&amp;$C16,'Smelter Look-up'!$J:$J,0)))</f>
        <v>186</v>
      </c>
      <c r="X16" s="227">
        <f t="shared" ca="1" si="3"/>
        <v>0</v>
      </c>
      <c r="AB16" s="228" t="str">
        <f t="shared" ca="1" si="4"/>
        <v>GoldMetalor Technologies S.A.</v>
      </c>
    </row>
    <row r="17" spans="1:28" s="227" customFormat="1" ht="20" customHeight="1">
      <c r="A17" s="262" t="s">
        <v>726</v>
      </c>
      <c r="B17" s="182" t="str">
        <f ca="1">IF(LEN(A17)=0,"",INDEX('Smelter Look-up'!$A:$A,MATCH($A17,'Smelter Look-up'!$E:$E,0)))</f>
        <v>Gold</v>
      </c>
      <c r="C17" s="186" t="str">
        <f ca="1">IF(LEN(A17)=0,"",INDEX('Smelter Look-up'!$C:$C,MATCH($A17,'Smelter Look-up'!$E:$E,0)))</f>
        <v>Tanaka Kikinzoku Kogyo K.K.</v>
      </c>
      <c r="D17" s="230"/>
      <c r="E17" s="182" t="str">
        <f ca="1">IF(ISERROR($V17),"",OFFSET('Smelter Look-up'!$D$4,$V17-4,0)&amp;"")</f>
        <v>JAPAN</v>
      </c>
      <c r="F17" s="182" t="str">
        <f ca="1">IF(ISERROR($V17),"",OFFSET('Smelter Look-up'!$E$4,$V17-4,0))</f>
        <v>CID001875</v>
      </c>
      <c r="G17" s="182" t="str">
        <f ca="1">IF(C17=$X$4,IF(ISERROR($V17),"Enter smelter details","RMI"),IF(ISERROR($V17),"",OFFSET('Smelter Look-up'!$F$4,$V17-4,0)))</f>
        <v>RMI</v>
      </c>
      <c r="H17" s="183">
        <f ca="1">IF(ISERROR($V17),"",OFFSET('Smelter Look-up'!$G$4,$V17-4,0))</f>
        <v>0</v>
      </c>
      <c r="I17" s="184" t="str">
        <f ca="1">IF(ISERROR($V17),"",OFFSET('Smelter Look-up'!$H$4,$V17-4,0))</f>
        <v>Hiratsuka</v>
      </c>
      <c r="J17" s="184" t="str">
        <f ca="1">IF(ISERROR($V17),"",OFFSET('Smelter Look-up'!$I$4,$V17-4,0))</f>
        <v>Kanagawa</v>
      </c>
      <c r="K17" s="224"/>
      <c r="L17" s="224"/>
      <c r="M17" s="224"/>
      <c r="N17" s="224"/>
      <c r="O17" s="224"/>
      <c r="P17" s="185"/>
      <c r="Q17" s="225" t="s">
        <v>15863</v>
      </c>
      <c r="R17" s="182" t="str">
        <f ca="1">IF(ISERROR($V17),"",OFFSET('Smelter Look-up'!$C$4,$V17-4,0)&amp;"")</f>
        <v>Tanaka Kikinzoku Kogyo K.K.</v>
      </c>
      <c r="S17" s="181" t="str">
        <f t="shared" ca="1" si="2"/>
        <v>JP</v>
      </c>
      <c r="T17" s="181" t="str">
        <f ca="1">IF(B17="","",IF(ISERROR(MATCH($J17,SorP!$B$1:$B$6226,0)),"",INDIRECT("'SorP'!$A$"&amp;MATCH($S17&amp;$J17,SorP!C:C,0))))</f>
        <v>JP-14</v>
      </c>
      <c r="U17" s="201"/>
      <c r="V17" s="226">
        <f ca="1">IF(C17="",NA(),IF(OR(C17="Smelter not listed",C17="Smelter not yet identified"),MATCH($B17&amp;$D17,'Smelter Look-up'!$J:$J,0),MATCH($B17&amp;$C17,'Smelter Look-up'!$J:$J,0)))</f>
        <v>289</v>
      </c>
      <c r="X17" s="227">
        <f t="shared" ca="1" si="3"/>
        <v>0</v>
      </c>
      <c r="AB17" s="228" t="str">
        <f t="shared" ca="1" si="4"/>
        <v>GoldTanaka Kikinzoku Kogyo K.K.</v>
      </c>
    </row>
    <row r="18" spans="1:28" s="227" customFormat="1" ht="20" customHeight="1">
      <c r="A18" s="181" t="s">
        <v>779</v>
      </c>
      <c r="B18" s="182" t="str">
        <f ca="1">IF(LEN(A18)=0,"",INDEX('Smelter Look-up'!$A:$A,MATCH($A18,'Smelter Look-up'!$E:$E,0)))</f>
        <v>Tin</v>
      </c>
      <c r="C18" s="186" t="str">
        <f ca="1">IF(LEN(A18)=0,"",INDEX('Smelter Look-up'!$C:$C,MATCH($A18,'Smelter Look-up'!$E:$E,0)))</f>
        <v>Thaisarco</v>
      </c>
      <c r="D18" s="230"/>
      <c r="E18" s="182" t="str">
        <f ca="1">IF(ISERROR($V18),"",OFFSET('Smelter Look-up'!$D$4,$V18-4,0)&amp;"")</f>
        <v>THAILAND</v>
      </c>
      <c r="F18" s="182" t="str">
        <f ca="1">IF(ISERROR($V18),"",OFFSET('Smelter Look-up'!$E$4,$V18-4,0))</f>
        <v>CID001898</v>
      </c>
      <c r="G18" s="182" t="str">
        <f ca="1">IF(C18=$X$4,IF(ISERROR($V18),"Enter smelter details","RMI"),IF(ISERROR($V18),"",OFFSET('Smelter Look-up'!$F$4,$V18-4,0)))</f>
        <v>RMI</v>
      </c>
      <c r="H18" s="183">
        <f ca="1">IF(ISERROR($V18),"",OFFSET('Smelter Look-up'!$G$4,$V18-4,0))</f>
        <v>0</v>
      </c>
      <c r="I18" s="184" t="str">
        <f ca="1">IF(ISERROR($V18),"",OFFSET('Smelter Look-up'!$H$4,$V18-4,0))</f>
        <v>Amphur Muang</v>
      </c>
      <c r="J18" s="184" t="str">
        <f ca="1">IF(ISERROR($V18),"",OFFSET('Smelter Look-up'!$I$4,$V18-4,0))</f>
        <v>Phuket</v>
      </c>
      <c r="K18" s="224"/>
      <c r="L18" s="224"/>
      <c r="M18" s="224"/>
      <c r="N18" s="224"/>
      <c r="O18" s="224"/>
      <c r="P18" s="185"/>
      <c r="Q18" s="225" t="s">
        <v>15863</v>
      </c>
      <c r="R18" s="182" t="str">
        <f ca="1">IF(ISERROR($V18),"",OFFSET('Smelter Look-up'!$C$4,$V18-4,0)&amp;"")</f>
        <v>Thaisarco</v>
      </c>
      <c r="S18" s="181" t="str">
        <f t="shared" ca="1" si="2"/>
        <v>TH</v>
      </c>
      <c r="T18" s="181" t="str">
        <f ca="1">IF(B18="","",IF(ISERROR(MATCH($J18,SorP!$B$1:$B$6226,0)),"",INDIRECT("'SorP'!$A$"&amp;MATCH($S18&amp;$J18,SorP!C:C,0))))</f>
        <v>TH-83</v>
      </c>
      <c r="U18" s="201"/>
      <c r="V18" s="226">
        <f ca="1">IF(C18="",NA(),IF(OR(C18="Smelter not listed",C18="Smelter not yet identified"),MATCH($B18&amp;$D18,'Smelter Look-up'!$J:$J,0),MATCH($B18&amp;$C18,'Smelter Look-up'!$J:$J,0)))</f>
        <v>547</v>
      </c>
      <c r="X18" s="227">
        <f t="shared" ca="1" si="3"/>
        <v>0</v>
      </c>
      <c r="AB18" s="228" t="str">
        <f t="shared" ca="1" si="4"/>
        <v>TinThaisarco</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7F2361A-2654-48A5-A657-EBFEE559696A}"/>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E-tec Interconnect Asia Ltd. / E-tec Interconnect AG / EMC electro mechanical components GmbH</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Fabian Girolstein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f.girolstein@emc.de</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+496126939580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Fabian Girolstein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f.girolstein@emc.de</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45411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Fabian Girolstein</cp:lastModifiedBy>
  <cp:lastPrinted>2015-04-21T20:47:43Z</cp:lastPrinted>
  <dcterms:created xsi:type="dcterms:W3CDTF">2010-06-21T21:00:23Z</dcterms:created>
  <dcterms:modified xsi:type="dcterms:W3CDTF">2024-04-29T05:49:31Z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