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T:\Verordnungen und Stoffbeschränkungen\CMRT Konflikt-Mineralien Dodd-Frank-Act\"/>
    </mc:Choice>
  </mc:AlternateContent>
  <xr:revisionPtr revIDLastSave="0" documentId="13_ncr:1_{43DA9F7F-84F3-4474-B59B-D0B7B78E4FE7}"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8300" yWindow="70" windowWidth="29900" windowHeight="208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5" i="5"/>
  <c r="V5" i="5"/>
  <c r="J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E5" i="5"/>
  <c r="S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X9" i="5"/>
  <c r="X10" i="5"/>
  <c r="X11" i="5"/>
  <c r="X12" i="5"/>
  <c r="X13" i="5"/>
  <c r="X14" i="5"/>
  <c r="X15"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H7" i="5"/>
  <c r="X7" i="5"/>
  <c r="I7" i="5"/>
  <c r="R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X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AB7" i="5"/>
  <c r="AB8" i="5"/>
  <c r="S8" i="5"/>
  <c r="AB9" i="5"/>
  <c r="AB10" i="5"/>
  <c r="AB11" i="5"/>
  <c r="AB12" i="5"/>
  <c r="AB13" i="5"/>
  <c r="AB14" i="5"/>
  <c r="AB15" i="5"/>
  <c r="AB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H9" i="5"/>
  <c r="H10" i="5"/>
  <c r="I10" i="5"/>
  <c r="F10" i="5"/>
  <c r="R10" i="5"/>
  <c r="F11" i="5"/>
  <c r="R11" i="5"/>
  <c r="H11" i="5"/>
  <c r="I11" i="5"/>
  <c r="R12" i="5"/>
  <c r="I12" i="5"/>
  <c r="H12" i="5"/>
  <c r="F12" i="5"/>
  <c r="F13" i="5"/>
  <c r="H13" i="5"/>
  <c r="R13" i="5"/>
  <c r="I13" i="5"/>
  <c r="F14" i="5"/>
  <c r="H14" i="5"/>
  <c r="I14" i="5"/>
  <c r="R14" i="5"/>
  <c r="I15" i="5"/>
  <c r="H15" i="5"/>
  <c r="R15" i="5"/>
  <c r="F15" i="5"/>
  <c r="R16" i="5"/>
  <c r="I16" i="5"/>
  <c r="H16" i="5"/>
  <c r="F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<sst xmlns="http://schemas.openxmlformats.org/spreadsheetml/2006/main" count="22569" uniqueCount="15892">
  <si>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</si>
  <si>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</si>
  <si>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</si>
  <si>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</si>
  <si>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</si>
  <si>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</si>
  <si>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</si>
  <si>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</si>
  <si>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</si>
  <si>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</si>
  <si>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</si>
  <si>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</si>
  <si>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</si>
  <si>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</si>
  <si>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</si>
  <si>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</si>
  <si>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</si>
  <si>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</si>
  <si>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</si>
  <si>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</si>
  <si>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</si>
  <si>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</si>
  <si>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</si>
  <si>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</si>
  <si>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</si>
  <si>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</si>
  <si>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</si>
  <si>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</si>
  <si>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</si>
  <si>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</si>
  <si>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</si>
  <si>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</si>
  <si>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</si>
  <si>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</si>
  <si>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</si>
  <si>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</si>
  <si>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</si>
  <si>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</si>
  <si>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</si>
  <si>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</si>
  <si>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</si>
  <si>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</si>
  <si>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</si>
  <si>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</si>
  <si>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</si>
  <si>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</si>
  <si>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</si>
  <si>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</si>
  <si>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</si>
  <si>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</si>
  <si>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</si>
  <si>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</si>
  <si>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</si>
  <si>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</si>
  <si>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</si>
  <si>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</si>
  <si>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</si>
  <si>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</si>
  <si>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</si>
  <si>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</si>
  <si>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</si>
  <si>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</si>
  <si>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</si>
  <si>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</si>
  <si>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</si>
  <si>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</si>
  <si>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</si>
  <si>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</si>
  <si>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</si>
  <si>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</si>
  <si>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</si>
  <si>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</si>
  <si>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</si>
  <si>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</si>
  <si>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</si>
  <si>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</si>
  <si>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</si>
  <si>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</si>
  <si>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</si>
  <si>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</si>
  <si>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</si>
  <si>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</si>
  <si>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</si>
  <si>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</si>
  <si>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</si>
  <si>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</si>
  <si>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</si>
  <si>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</si>
  <si>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</si>
  <si>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</si>
  <si>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</si>
  <si>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</si>
  <si>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</si>
  <si>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</si>
  <si>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</si>
  <si>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</si>
  <si>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</si>
  <si>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</si>
  <si>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</si>
  <si>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</si>
  <si>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</si>
  <si>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</si>
  <si>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</si>
  <si>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</si>
  <si>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</si>
  <si>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</si>
  <si>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</si>
  <si>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</si>
  <si>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</si>
  <si>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</si>
  <si>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</si>
  <si>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</si>
  <si>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</si>
  <si>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</si>
  <si>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</si>
  <si>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</si>
  <si>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</si>
  <si>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</si>
  <si>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</si>
  <si>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</si>
  <si>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</si>
  <si>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</si>
  <si>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</si>
  <si>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</si>
  <si>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</si>
  <si>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</si>
  <si>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</si>
  <si>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</si>
  <si>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</si>
  <si>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</si>
  <si>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</si>
  <si>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</si>
  <si>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</si>
  <si>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</si>
  <si>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</si>
  <si>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</si>
  <si>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</si>
  <si>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</si>
  <si>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</si>
  <si>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</si>
  <si>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</si>
  <si>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</si>
  <si>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</si>
  <si>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</si>
  <si>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</si>
  <si>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</si>
  <si>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</si>
  <si>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</si>
  <si>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</si>
  <si>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</si>
  <si>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</si>
  <si>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</si>
  <si>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</si>
  <si>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</si>
  <si>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</si>
  <si>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</si>
  <si>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</si>
  <si>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</si>
  <si>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</si>
  <si>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</si>
  <si>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</si>
  <si>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</si>
  <si>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</si>
  <si>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</si>
  <si>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</si>
  <si>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</si>
  <si>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</si>
  <si>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</si>
  <si>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</si>
  <si>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</si>
  <si>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</si>
  <si>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</si>
  <si>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</si>
  <si>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</si>
  <si>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</si>
  <si>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</si>
  <si>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</si>
  <si>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</si>
  <si>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</si>
  <si>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</si>
  <si>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</si>
  <si>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</si>
  <si>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</si>
  <si>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</si>
  <si>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</si>
  <si>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</si>
  <si>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</si>
  <si>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</si>
  <si>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</si>
  <si>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</si>
  <si>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</si>
  <si>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</si>
  <si>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</si>
  <si>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</si>
  <si>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</si>
  <si>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</si>
  <si>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</si>
  <si>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</si>
  <si>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</si>
  <si>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</si>
  <si>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</si>
  <si>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</si>
  <si>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</si>
  <si>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</si>
  <si>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</si>
  <si>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</si>
  <si>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</si>
  <si>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</si>
  <si>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</si>
  <si>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</si>
  <si>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</si>
  <si>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</si>
  <si>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</si>
  <si>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</si>
  <si>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</si>
  <si>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</si>
  <si>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</si>
  <si>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</si>
  <si>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</si>
  <si>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</si>
  <si>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</si>
  <si>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</si>
  <si>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</si>
  <si>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</si>
  <si>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</si>
  <si>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</si>
  <si>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</si>
  <si>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</si>
  <si>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</si>
  <si>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</si>
  <si>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</si>
  <si>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</si>
  <si>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</si>
  <si>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</si>
  <si>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</si>
  <si>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</si>
  <si>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</si>
  <si>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</si>
  <si>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</si>
  <si>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</si>
  <si>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</si>
  <si>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</si>
  <si>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</si>
  <si>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</si>
  <si>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</si>
  <si>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</si>
  <si>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</si>
  <si>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</si>
  <si>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</si>
  <si>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</si>
  <si>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</si>
  <si>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</si>
  <si>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</si>
  <si>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</si>
  <si>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</si>
  <si>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</si>
  <si>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</si>
  <si>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</si>
  <si>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</si>
  <si>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</si>
  <si>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</si>
  <si>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</si>
  <si>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</si>
  <si>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</si>
  <si>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</si>
  <si>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</si>
  <si>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</si>
  <si>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</si>
  <si>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</si>
  <si>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</si>
  <si>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</si>
  <si>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</si>
  <si>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</si>
  <si>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</si>
  <si>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</si>
  <si>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</si>
  <si>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</si>
  <si>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</si>
  <si>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</si>
  <si>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</si>
  <si>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</si>
  <si>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</si>
  <si>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</si>
  <si>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</si>
  <si>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</si>
  <si>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</si>
  <si>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</si>
  <si>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</si>
  <si>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</si>
  <si>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</si>
  <si>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</si>
  <si>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</si>
  <si>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</si>
  <si>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</si>
  <si>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</si>
  <si>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</si>
  <si>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</si>
  <si>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</si>
  <si>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</si>
  <si>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</si>
  <si>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</si>
  <si>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</si>
  <si>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</si>
  <si>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</si>
  <si>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</si>
  <si>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</si>
  <si>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</si>
  <si>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</si>
  <si>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</si>
  <si>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</si>
  <si>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</si>
  <si>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</si>
  <si>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</si>
  <si>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</si>
  <si>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</si>
  <si>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</si>
  <si>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</si>
  <si>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</si>
  <si>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</si>
  <si>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</si>
  <si>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</si>
  <si>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</si>
  <si>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</si>
  <si>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</si>
  <si>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</si>
  <si>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</si>
  <si>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</si>
  <si>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</si>
  <si>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</si>
  <si>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</si>
  <si>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</si>
  <si>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</si>
  <si>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</si>
  <si>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</si>
  <si>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</si>
  <si>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</si>
  <si>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</si>
  <si>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</si>
  <si>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</si>
  <si>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</si>
  <si>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</si>
  <si>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</si>
  <si>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</si>
  <si>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</si>
  <si>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</si>
  <si>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</si>
  <si>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</si>
  <si>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</si>
  <si>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</si>
  <si>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</si>
  <si>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</si>
  <si>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</si>
  <si>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</si>
  <si>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</si>
  <si>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</si>
  <si>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</si>
  <si>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</si>
  <si>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</si>
  <si>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</si>
  <si>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</si>
  <si>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</si>
  <si>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</si>
  <si>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</si>
  <si>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</si>
  <si>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</si>
  <si>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</si>
  <si>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</si>
  <si>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</si>
  <si>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</si>
  <si>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</si>
  <si>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</si>
  <si>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</si>
  <si>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</si>
  <si>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</si>
  <si>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</si>
  <si>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</si>
  <si>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</si>
  <si>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</si>
  <si>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</si>
  <si>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</si>
  <si>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</si>
  <si>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</si>
  <si>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</si>
  <si>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</si>
  <si>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</si>
  <si>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</si>
  <si>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</si>
  <si>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</si>
  <si>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</si>
  <si>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</si>
  <si>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</si>
  <si>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</si>
  <si>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</si>
  <si>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</si>
  <si>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</si>
  <si>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</si>
  <si>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</si>
  <si>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</si>
  <si>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</si>
  <si>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</si>
  <si>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</si>
  <si>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</si>
  <si>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</si>
  <si>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</si>
  <si>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</si>
  <si>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</si>
  <si>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</si>
  <si>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</si>
  <si>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</si>
  <si>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</si>
  <si>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</si>
  <si>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</si>
  <si>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</si>
  <si>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</si>
  <si>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</si>
  <si>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</si>
  <si>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</si>
  <si>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</si>
  <si>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</si>
  <si>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</si>
  <si>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</si>
  <si>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</si>
  <si>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</si>
  <si>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</si>
  <si>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</si>
  <si>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</si>
  <si>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</si>
  <si>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</si>
  <si>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</si>
  <si>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</si>
  <si>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</si>
  <si>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</si>
  <si>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</si>
  <si>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</si>
  <si>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</si>
  <si>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</si>
  <si>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</si>
  <si>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</si>
  <si>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</si>
  <si>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</si>
  <si>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</si>
  <si>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</si>
  <si>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</si>
  <si>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</si>
  <si>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</si>
  <si>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</si>
  <si>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</si>
  <si>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</si>
  <si>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</si>
  <si>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</si>
  <si>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</si>
  <si>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</si>
  <si>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</si>
  <si>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</si>
  <si>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</si>
  <si>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</si>
  <si>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</si>
  <si>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</si>
  <si>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</si>
  <si>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</si>
  <si>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</si>
  <si>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</si>
  <si>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</si>
  <si>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</si>
  <si>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</si>
  <si>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</si>
  <si>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</si>
  <si>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</si>
  <si>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</si>
  <si>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</si>
  <si>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</si>
  <si>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</si>
  <si>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</si>
  <si>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</si>
  <si>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</si>
  <si>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</si>
  <si>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</si>
  <si>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</si>
  <si>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</si>
  <si>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</si>
  <si>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</si>
  <si>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</si>
  <si>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</si>
  <si>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</si>
  <si>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</si>
  <si>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</si>
  <si>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</si>
  <si>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</si>
  <si>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</si>
  <si>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</si>
  <si>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</si>
  <si>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</si>
  <si>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</si>
  <si>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</si>
  <si>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</si>
  <si>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</si>
  <si>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</si>
  <si>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</si>
  <si>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</si>
  <si>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</si>
  <si>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</si>
  <si>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</si>
  <si>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</si>
  <si>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</si>
  <si>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</si>
  <si>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</si>
  <si>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</si>
  <si>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</si>
  <si>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</si>
  <si>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</si>
  <si>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</si>
  <si>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</si>
  <si>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</si>
  <si>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</si>
  <si>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</si>
  <si>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</si>
  <si>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</si>
  <si>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</si>
  <si>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</si>
  <si>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</si>
  <si>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</si>
  <si>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</si>
  <si>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</si>
  <si>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</si>
  <si>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</si>
  <si>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</si>
  <si>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</si>
  <si>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</si>
  <si>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</si>
  <si>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</si>
  <si>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</si>
  <si>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</si>
  <si>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</si>
  <si>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</si>
  <si>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</si>
  <si>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</si>
  <si>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</si>
  <si>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</si>
  <si>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</si>
  <si>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</si>
  <si>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</si>
  <si>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</si>
  <si>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</si>
  <si>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</si>
  <si>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</si>
  <si>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</si>
  <si>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</si>
  <si>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</si>
  <si>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</si>
  <si>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</si>
  <si>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</si>
  <si>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</si>
  <si>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</si>
  <si>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</si>
  <si>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</si>
  <si>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</si>
  <si>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</si>
  <si>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</si>
  <si>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</si>
  <si>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</si>
  <si>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</si>
  <si>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</si>
  <si>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</si>
  <si>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</si>
  <si>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</si>
  <si>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</si>
  <si>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</si>
  <si>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</si>
  <si>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</si>
  <si>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</si>
  <si>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</si>
  <si>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</si>
  <si>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</si>
  <si>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</si>
  <si>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</si>
  <si>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</si>
  <si>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</si>
  <si>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</si>
  <si>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</si>
  <si>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</si>
  <si>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</si>
  <si>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</si>
  <si>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</si>
  <si>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</si>
  <si>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</si>
  <si>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</si>
  <si>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</si>
  <si>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</si>
  <si>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</si>
  <si>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</si>
  <si>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</si>
  <si>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</si>
  <si>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</si>
  <si>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</si>
  <si>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</si>
  <si>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</si>
  <si>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</si>
  <si>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</si>
  <si>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</si>
  <si>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</si>
  <si>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</si>
  <si>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</si>
  <si>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</si>
  <si>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</si>
  <si>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</si>
  <si>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</si>
  <si>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</si>
  <si>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</si>
  <si>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</si>
  <si>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</si>
  <si>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</si>
  <si>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</si>
  <si>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</si>
  <si>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</si>
  <si>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</si>
  <si>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</si>
  <si>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</si>
  <si>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</si>
  <si>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</si>
  <si>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</si>
  <si>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</si>
  <si>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</si>
  <si>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</si>
  <si>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</si>
  <si>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</si>
  <si>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</si>
  <si>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</si>
  <si>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</si>
  <si>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</si>
  <si>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</si>
  <si>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</si>
  <si>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</si>
  <si>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</si>
  <si>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</si>
  <si>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</si>
  <si>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</si>
  <si>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</si>
  <si>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</si>
  <si>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</si>
  <si>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</si>
  <si>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</si>
  <si>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</si>
  <si>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</si>
  <si>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</si>
  <si>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</si>
  <si>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</si>
  <si>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</si>
  <si>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</si>
  <si>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</si>
  <si>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</si>
  <si>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</si>
  <si>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</si>
  <si>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</si>
  <si>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</si>
  <si>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</si>
  <si>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</si>
  <si>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</si>
  <si>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</si>
  <si>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</si>
  <si>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</si>
  <si>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</si>
  <si>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</si>
  <si>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</si>
  <si>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</si>
  <si>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</si>
  <si>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</si>
  <si>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</si>
  <si>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</si>
  <si>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</si>
  <si>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</si>
  <si>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</si>
  <si>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</si>
  <si>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</si>
  <si>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</si>
  <si>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</si>
  <si>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</si>
  <si>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</si>
  <si>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</si>
  <si>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</si>
  <si>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</si>
  <si>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</si>
  <si>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</si>
  <si>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</si>
  <si>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</si>
  <si>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</si>
  <si>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</si>
  <si>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</si>
  <si>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</si>
  <si>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</si>
  <si>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</si>
  <si>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</si>
  <si>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</si>
  <si>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</si>
  <si>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</si>
  <si>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</si>
  <si>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</si>
  <si>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</si>
  <si>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</si>
  <si>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</si>
  <si>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</si>
  <si>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</si>
  <si>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</si>
  <si>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</si>
  <si>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</si>
  <si>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</si>
  <si>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</si>
  <si>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</si>
  <si>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</si>
  <si>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</si>
  <si>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</si>
  <si>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</si>
  <si>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</si>
  <si>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</si>
  <si>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</si>
  <si>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</si>
  <si>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</si>
  <si>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</si>
  <si>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</si>
  <si>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</si>
  <si>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</si>
  <si>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</si>
  <si>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</si>
  <si>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</si>
  <si>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</si>
  <si>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</si>
  <si>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</si>
  <si>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</si>
  <si>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</si>
  <si>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</si>
  <si>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</si>
  <si>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</si>
  <si>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</si>
  <si>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</si>
  <si>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</si>
  <si>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</si>
  <si>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</si>
  <si>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</si>
  <si>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</si>
  <si>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</si>
  <si>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</si>
  <si>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</si>
  <si>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</si>
  <si>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</si>
  <si>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</si>
  <si>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</si>
  <si>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</si>
  <si>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</si>
  <si>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</si>
  <si>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</si>
  <si>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</si>
  <si>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</si>
  <si>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</si>
  <si>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</si>
  <si>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</si>
  <si>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</si>
  <si>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</si>
  <si>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</si>
  <si>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</si>
  <si>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</si>
  <si>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</si>
  <si>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</si>
  <si>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</si>
  <si>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</si>
  <si>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</si>
  <si>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</si>
  <si>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</si>
  <si>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</si>
  <si>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</si>
  <si>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</si>
  <si>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</si>
  <si>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</si>
  <si>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</si>
  <si>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</si>
  <si>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</si>
  <si>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</si>
  <si>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</si>
  <si>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</si>
  <si>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</si>
  <si>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</si>
  <si>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</si>
  <si>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</si>
  <si>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</si>
  <si>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</si>
  <si>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</si>
  <si>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</si>
  <si>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</si>
  <si>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</si>
  <si>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</si>
  <si>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</si>
  <si>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</si>
  <si>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</si>
  <si>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</si>
  <si>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</si>
  <si>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</si>
  <si>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</si>
  <si>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</si>
  <si>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</si>
  <si>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</si>
  <si>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</si>
  <si>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</si>
  <si>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</si>
  <si>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</si>
  <si>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</si>
  <si>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</si>
  <si>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</si>
  <si>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</si>
  <si>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</si>
  <si>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</si>
  <si>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</si>
  <si>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</si>
  <si>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</si>
  <si>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</si>
  <si>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</si>
  <si>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</si>
  <si>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</si>
  <si>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</si>
  <si>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</si>
  <si>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</si>
  <si>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</si>
  <si>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</si>
  <si>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</si>
  <si>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</si>
  <si>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</si>
  <si>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</si>
  <si>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</si>
  <si>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</si>
  <si>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</si>
  <si>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</si>
  <si>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</si>
  <si>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</si>
  <si>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</si>
  <si>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</si>
  <si>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</si>
  <si>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</si>
  <si>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</si>
  <si>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</si>
  <si>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</si>
  <si>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</si>
  <si>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</si>
  <si>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</si>
  <si>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</si>
  <si>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</si>
  <si>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</si>
  <si>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</si>
  <si>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</si>
  <si>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</si>
  <si>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</si>
  <si>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</si>
  <si>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</si>
  <si>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</si>
  <si>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</si>
  <si>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</si>
  <si>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</si>
  <si>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</si>
  <si>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</si>
  <si>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</si>
  <si>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</si>
  <si>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</si>
  <si>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</si>
  <si>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</si>
  <si>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</si>
  <si>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</si>
  <si>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</si>
  <si>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</si>
  <si>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</si>
  <si>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</si>
  <si>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</si>
  <si>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</si>
  <si>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</si>
  <si>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</si>
  <si>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</si>
  <si>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</si>
  <si>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</si>
  <si>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</si>
  <si>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</si>
  <si>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</si>
  <si>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</si>
  <si>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</si>
  <si>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</si>
  <si>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</si>
  <si>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</si>
  <si>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</si>
  <si>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</si>
  <si>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</si>
  <si>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</si>
  <si>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</si>
  <si>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</si>
  <si>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</si>
  <si>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</si>
  <si>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</si>
  <si>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</si>
  <si>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</si>
  <si>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</si>
  <si>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</si>
  <si>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</si>
  <si>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</si>
  <si>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</si>
  <si>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</si>
  <si>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</si>
  <si>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</si>
  <si>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</si>
  <si>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</si>
  <si>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</si>
  <si>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</si>
  <si>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</si>
  <si>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</si>
  <si>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</si>
  <si>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</si>
  <si>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</si>
  <si>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</si>
  <si>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</si>
  <si>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</si>
  <si>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</si>
  <si>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</si>
  <si>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</si>
  <si>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</si>
  <si>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</si>
  <si>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</si>
  <si>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</si>
  <si>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</si>
  <si>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</si>
  <si>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</si>
  <si>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</si>
  <si>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</si>
  <si>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</si>
  <si>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</si>
  <si>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</si>
  <si>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</si>
  <si>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</si>
  <si>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</si>
  <si>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</si>
  <si>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</si>
  <si>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</si>
  <si>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</si>
  <si>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</si>
  <si>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</si>
  <si>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</si>
  <si>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</si>
  <si>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</si>
  <si>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</si>
  <si>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</si>
  <si>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</si>
  <si>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</si>
  <si>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</si>
  <si>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</si>
  <si>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</si>
  <si>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</si>
  <si>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</si>
  <si>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</si>
  <si>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</si>
  <si>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</si>
  <si>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</si>
  <si>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</si>
  <si>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</si>
  <si>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</si>
  <si>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</si>
  <si>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</si>
  <si>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</si>
  <si>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</si>
  <si>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</si>
  <si>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</si>
  <si>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</si>
  <si>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</si>
  <si>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</si>
  <si>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</si>
  <si>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</si>
  <si>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</si>
  <si>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</si>
  <si>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</si>
  <si>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</si>
  <si>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</si>
  <si>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</si>
  <si>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</si>
  <si>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</si>
  <si>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</si>
  <si>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</si>
  <si>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</si>
  <si>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</si>
  <si>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</si>
  <si>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</si>
  <si>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</si>
  <si>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</si>
  <si>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</si>
  <si>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</si>
  <si>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</si>
  <si>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</si>
  <si>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</si>
  <si>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</si>
  <si>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</si>
  <si>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</si>
  <si>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</si>
  <si>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</si>
  <si>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</si>
  <si>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</si>
  <si>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</si>
  <si>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</si>
  <si>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</si>
  <si>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</si>
  <si>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</si>
  <si>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</si>
  <si>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</si>
  <si>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</si>
  <si>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</si>
  <si>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</si>
  <si>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</si>
  <si>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</si>
  <si>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</si>
  <si>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</si>
  <si>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</si>
  <si>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</si>
  <si>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</si>
  <si>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</si>
  <si>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</si>
  <si>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</si>
  <si>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</si>
  <si>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</si>
  <si>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</si>
  <si>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</si>
  <si>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</si>
  <si>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</si>
  <si>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</si>
  <si>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</si>
  <si>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</si>
  <si>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</si>
  <si>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</si>
  <si>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</si>
  <si>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</si>
  <si>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</si>
  <si>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</si>
  <si>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</si>
  <si>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</si>
  <si>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</si>
  <si>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</si>
  <si>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</si>
  <si>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</si>
  <si>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</si>
  <si>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</si>
  <si>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</si>
  <si>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</si>
  <si>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</si>
  <si>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</si>
  <si>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</si>
  <si>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</si>
  <si>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</si>
  <si>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</si>
  <si>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</si>
  <si>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</si>
  <si>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</si>
  <si>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</si>
  <si>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</si>
  <si>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</si>
  <si>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</si>
  <si>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</si>
  <si>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</si>
  <si>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</si>
  <si>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</si>
  <si>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</si>
  <si>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</si>
  <si>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</si>
  <si>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</si>
  <si>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</si>
  <si>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</si>
  <si>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</si>
  <si>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</si>
  <si>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</si>
  <si>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</si>
  <si>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</si>
  <si>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</si>
  <si>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</si>
  <si>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</si>
  <si>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</si>
  <si>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</si>
  <si>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</si>
  <si>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</si>
  <si>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</si>
  <si>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</si>
  <si>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</si>
  <si>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</si>
  <si>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</si>
  <si>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</si>
  <si>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</si>
  <si>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</si>
  <si>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</si>
  <si>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</si>
  <si>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</si>
  <si>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</si>
  <si>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</si>
  <si>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</si>
  <si>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</si>
  <si>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</si>
  <si>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</si>
  <si>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</si>
  <si>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</si>
  <si>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</si>
  <si>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</si>
  <si>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</si>
  <si>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</si>
  <si>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</si>
  <si>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</si>
  <si>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</si>
  <si>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</si>
  <si>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</si>
  <si>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</si>
  <si>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</si>
  <si>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</si>
  <si>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</si>
  <si>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</si>
  <si>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</si>
  <si>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</si>
  <si>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</si>
  <si>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</si>
  <si>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</si>
  <si>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</si>
  <si>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</si>
  <si>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</si>
  <si>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</si>
  <si>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</si>
  <si>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</si>
  <si>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</si>
  <si>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</si>
  <si>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</si>
  <si>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</si>
  <si>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</si>
  <si>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</si>
  <si>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</si>
  <si>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</si>
  <si>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</si>
  <si>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</si>
  <si>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</si>
  <si>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</si>
  <si>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</si>
  <si>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</si>
  <si>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</si>
  <si>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</si>
  <si>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</si>
  <si>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</si>
  <si>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</si>
  <si>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</si>
  <si>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</si>
  <si>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</si>
  <si>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</si>
  <si>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</si>
  <si>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</si>
  <si>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</si>
  <si>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</si>
  <si>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</si>
  <si>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</si>
  <si>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</si>
  <si>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</si>
  <si>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</si>
  <si>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</si>
  <si>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</si>
  <si>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</si>
  <si>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</si>
  <si>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</si>
  <si>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</si>
  <si>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</si>
  <si>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</si>
  <si>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</si>
  <si>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</si>
  <si>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</si>
  <si>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</si>
  <si>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</si>
  <si>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</si>
  <si>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</si>
  <si>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</si>
  <si>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</si>
  <si>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</si>
  <si>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</si>
  <si>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</si>
  <si>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</si>
  <si>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</si>
  <si>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</si>
  <si>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</si>
  <si>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</si>
  <si>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</si>
  <si>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</si>
  <si>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</si>
  <si>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</si>
  <si>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</si>
  <si>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</si>
  <si>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</si>
  <si>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</si>
  <si>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</si>
  <si>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</si>
  <si>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</si>
  <si>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</si>
  <si>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</si>
  <si>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</si>
  <si>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</si>
  <si>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</si>
  <si>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</si>
  <si>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</si>
  <si>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</si>
  <si>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</si>
  <si>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</si>
  <si>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</si>
  <si>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</si>
  <si>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</si>
  <si>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</si>
  <si>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</si>
  <si>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</si>
  <si>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</si>
  <si>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</si>
  <si>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</si>
  <si>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</si>
  <si>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</si>
  <si>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</si>
  <si>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</si>
  <si>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</si>
  <si>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</si>
  <si>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</si>
  <si>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</si>
  <si>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</si>
  <si>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</si>
  <si>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</si>
  <si>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</si>
  <si>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</si>
  <si>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</si>
  <si>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</si>
  <si>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</si>
  <si>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</si>
  <si>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</si>
  <si>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</si>
  <si>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</si>
  <si>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</si>
  <si>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</si>
  <si>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</si>
  <si>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</si>
  <si>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</si>
  <si>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</si>
  <si>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</si>
  <si>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</si>
  <si>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</si>
  <si>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</si>
  <si>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</si>
  <si>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</si>
  <si>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</si>
  <si>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</si>
  <si>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</si>
  <si>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</si>
  <si>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</si>
  <si>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</si>
  <si>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</si>
  <si>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</si>
  <si>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</si>
  <si>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</si>
  <si>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</si>
  <si>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</si>
  <si>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</si>
  <si>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</si>
  <si>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</si>
  <si>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</si>
  <si>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</si>
  <si>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</si>
  <si>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</si>
  <si>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</si>
  <si>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</si>
  <si>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</si>
  <si>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</si>
  <si>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</si>
  <si>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</si>
  <si>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</si>
  <si>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</si>
  <si>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</si>
  <si>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</si>
  <si>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</si>
  <si>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</si>
  <si>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</si>
  <si>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</si>
  <si>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</si>
  <si>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</si>
  <si>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</si>
  <si>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</si>
  <si>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</si>
  <si>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</si>
  <si>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</si>
  <si>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</si>
  <si>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</si>
  <si>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</si>
  <si>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</si>
  <si>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</si>
  <si>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</si>
  <si>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</si>
  <si>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</si>
  <si>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</si>
  <si>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</si>
  <si>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</si>
  <si>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</si>
  <si>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</si>
  <si>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</si>
  <si>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</si>
  <si>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</si>
  <si>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</si>
  <si>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</si>
  <si>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</si>
  <si>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</si>
  <si>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</si>
  <si>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</si>
  <si>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</si>
  <si>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</si>
  <si>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</si>
  <si>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</si>
  <si>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</si>
  <si>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</si>
  <si>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</si>
  <si>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</si>
  <si>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</si>
  <si>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</si>
  <si>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</si>
  <si>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</si>
  <si>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</si>
  <si>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</si>
  <si>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</si>
  <si>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</si>
  <si>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</si>
  <si>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</si>
  <si>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</si>
  <si>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</si>
  <si>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</si>
  <si>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</si>
  <si>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</si>
  <si>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</si>
  <si>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</si>
  <si>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</si>
  <si>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</si>
  <si>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</si>
  <si>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</si>
  <si>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</si>
  <si>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</si>
  <si>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</si>
  <si>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</si>
  <si>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</si>
  <si>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</si>
  <si>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</si>
  <si>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</si>
  <si>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</si>
  <si>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</si>
  <si>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</si>
  <si>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</si>
  <si>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</si>
  <si>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</si>
  <si>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</si>
  <si>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</si>
  <si>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</si>
  <si>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</si>
  <si>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</si>
  <si>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</si>
  <si>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</si>
  <si>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</si>
  <si>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</si>
  <si>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</si>
  <si>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</si>
  <si>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</si>
  <si>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</si>
  <si>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</si>
  <si>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</si>
  <si>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</si>
  <si>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</si>
  <si>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</si>
  <si>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</si>
  <si>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</si>
  <si>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</si>
  <si>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</si>
  <si>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</si>
  <si>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</si>
  <si>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</si>
  <si>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</si>
  <si>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</si>
  <si>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</si>
  <si>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</si>
  <si>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</si>
  <si>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</si>
  <si>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</si>
  <si>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</si>
  <si>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</si>
  <si>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</si>
  <si>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</si>
  <si>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</si>
  <si>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</si>
  <si>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</si>
  <si>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</si>
  <si>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</si>
  <si>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</si>
  <si>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</si>
  <si>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</si>
  <si>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</si>
  <si>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</si>
  <si>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</si>
  <si>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</si>
  <si>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</si>
  <si>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</si>
  <si>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</si>
  <si>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</si>
  <si>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</si>
  <si>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</si>
  <si>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</si>
  <si>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</si>
  <si>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</si>
  <si>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</si>
  <si>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</si>
  <si>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</si>
  <si>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</si>
  <si>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</si>
  <si>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</si>
  <si>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</si>
  <si>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</si>
  <si>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</si>
  <si>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</si>
  <si>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</si>
  <si>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</si>
  <si>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</si>
  <si>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</si>
  <si>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</si>
  <si>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</si>
  <si>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</si>
  <si>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</si>
  <si>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</si>
  <si>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</si>
  <si>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</si>
  <si>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</si>
  <si>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</si>
  <si>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</si>
  <si>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</si>
  <si>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</si>
  <si>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</si>
  <si>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</si>
  <si>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</si>
  <si>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</si>
  <si>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</si>
  <si>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</si>
  <si>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</si>
  <si>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</si>
  <si>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</si>
  <si>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</si>
  <si>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</si>
  <si>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</si>
  <si>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</si>
  <si>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</si>
  <si>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</si>
  <si>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</si>
  <si>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</si>
  <si>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</si>
  <si>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</si>
  <si>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</si>
  <si>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</si>
  <si>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</si>
  <si>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</si>
  <si>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</si>
  <si>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</si>
  <si>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</si>
  <si>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</si>
  <si>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</si>
  <si>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</si>
  <si>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</si>
  <si>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</si>
  <si>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</si>
  <si>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</si>
  <si>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</si>
  <si>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</si>
  <si>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</si>
  <si>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</si>
  <si>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</si>
  <si>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</si>
  <si>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</si>
  <si>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</si>
  <si>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</si>
  <si>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</si>
  <si>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</si>
  <si>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</si>
  <si>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</si>
  <si>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</si>
  <si>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</si>
  <si>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</si>
  <si>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</si>
  <si>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</si>
  <si>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</si>
  <si>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</si>
  <si>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</si>
  <si>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</si>
  <si>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</si>
  <si>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</si>
  <si>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</si>
  <si>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</si>
  <si>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</si>
  <si>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</si>
  <si>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</si>
  <si>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</si>
  <si>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</si>
  <si>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</si>
  <si>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</si>
  <si>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</si>
  <si>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</si>
  <si>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</si>
  <si>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</si>
  <si>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</si>
  <si>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</si>
  <si>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</si>
  <si>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</si>
  <si>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</si>
  <si>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</si>
  <si>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</si>
  <si>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</si>
  <si>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</si>
  <si>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</si>
  <si>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</si>
  <si>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</si>
  <si>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</si>
  <si>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</si>
  <si>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</si>
  <si>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</si>
  <si>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</si>
  <si>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</si>
  <si>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</si>
  <si>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</si>
  <si>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</si>
  <si>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</si>
  <si>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</si>
  <si>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</si>
  <si>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</si>
  <si>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</si>
  <si>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</si>
  <si>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</si>
  <si>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</si>
  <si>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</si>
  <si>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</si>
  <si>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</si>
  <si>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</si>
  <si>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</si>
  <si>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</si>
  <si>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</si>
  <si>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</si>
  <si>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</si>
  <si>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</si>
  <si>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</si>
  <si>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</si>
  <si>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</si>
  <si>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</si>
  <si>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</si>
  <si>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</si>
  <si>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</si>
  <si>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</si>
  <si>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</si>
  <si>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</si>
  <si>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</si>
  <si>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</si>
  <si>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</si>
  <si>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</si>
  <si>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</si>
  <si>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</si>
  <si>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</si>
  <si>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</si>
  <si>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</si>
  <si>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</si>
  <si>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</si>
  <si>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</si>
  <si>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</si>
  <si>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</si>
  <si>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</si>
  <si>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</si>
  <si>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</si>
  <si>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</si>
  <si>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</si>
  <si>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</si>
  <si>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</si>
  <si>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</si>
  <si>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</si>
  <si>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</si>
  <si>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</si>
  <si>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</si>
  <si>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</si>
  <si>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</si>
  <si>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</si>
  <si>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</si>
  <si>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</si>
  <si>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</si>
  <si>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</si>
  <si>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</si>
  <si>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</si>
  <si>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</si>
  <si>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</si>
  <si>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</si>
  <si>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</si>
  <si>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</si>
  <si>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</si>
  <si>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</si>
  <si>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</si>
  <si>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</si>
  <si>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</si>
  <si>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</si>
  <si>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</si>
  <si>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</si>
  <si>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</si>
  <si>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</si>
  <si>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</si>
  <si>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</si>
  <si>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</si>
  <si>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</si>
  <si>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</si>
  <si>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</si>
  <si>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</si>
  <si>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</si>
  <si>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</si>
  <si>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</si>
  <si>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</si>
  <si>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</si>
  <si>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</si>
  <si>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</si>
  <si>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</si>
  <si>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</si>
  <si>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</si>
  <si>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</si>
  <si>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</si>
  <si>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</si>
  <si>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</si>
  <si>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</si>
  <si>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</si>
  <si>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</si>
  <si>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</si>
  <si>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</si>
  <si>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</si>
  <si>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</si>
  <si>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</si>
  <si>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</si>
  <si>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</si>
  <si>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</si>
  <si>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</si>
  <si>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</si>
  <si>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</si>
  <si>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</si>
  <si>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</si>
  <si>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</si>
  <si>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</si>
  <si>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</si>
  <si>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</si>
  <si>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</si>
  <si>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</si>
  <si>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</si>
  <si>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</si>
  <si>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</si>
  <si>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</si>
  <si>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</si>
  <si>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</si>
  <si>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</si>
  <si>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</si>
  <si>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</si>
  <si>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</si>
  <si>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</si>
  <si>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</si>
  <si>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</si>
  <si>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</si>
  <si>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</si>
  <si>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</si>
  <si>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</si>
  <si>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</si>
  <si>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</si>
  <si>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</si>
  <si>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</si>
  <si>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</si>
  <si>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</si>
  <si>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</si>
  <si>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</si>
  <si>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</si>
  <si>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</si>
  <si>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</si>
  <si>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</si>
  <si>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</si>
  <si>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</si>
  <si>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</si>
  <si>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</si>
  <si>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</si>
  <si>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</si>
  <si>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</si>
  <si>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</si>
  <si>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</si>
  <si>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</si>
  <si>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</si>
  <si>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</si>
  <si>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</si>
  <si>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</si>
  <si>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</si>
  <si>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</si>
  <si>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</si>
  <si>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</si>
  <si>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</si>
  <si>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</si>
  <si>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</si>
  <si>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</si>
  <si>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</si>
  <si>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</si>
  <si>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</si>
  <si>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</si>
  <si>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</si>
  <si>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</si>
  <si>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</si>
  <si>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</si>
  <si>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</si>
  <si>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</si>
  <si>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</si>
  <si>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</si>
  <si>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</si>
  <si>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</si>
  <si>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</si>
  <si>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</si>
  <si>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</si>
  <si>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</si>
  <si>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</si>
  <si>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</si>
  <si>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</si>
  <si>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</si>
  <si>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</si>
  <si>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</si>
  <si>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</si>
  <si>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</si>
  <si>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</si>
  <si>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</si>
  <si>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</si>
  <si>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</si>
  <si>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</si>
  <si>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</si>
  <si>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</si>
  <si>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</si>
  <si>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</si>
  <si>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</si>
  <si>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</si>
  <si>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</si>
  <si>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</si>
  <si>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</si>
  <si>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</si>
  <si>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</si>
  <si>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</si>
  <si>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</si>
  <si>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</si>
  <si>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</si>
  <si>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</si>
  <si>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</si>
  <si>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</si>
  <si>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</si>
  <si>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</si>
  <si>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</si>
  <si>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</si>
  <si>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</si>
  <si>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</si>
  <si>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</si>
  <si>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</si>
  <si>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</si>
  <si>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</si>
  <si>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</si>
  <si>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</si>
  <si>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</si>
  <si>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</si>
  <si>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</si>
  <si>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</si>
  <si>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</si>
  <si>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</si>
  <si>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</si>
  <si>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</si>
  <si>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</si>
  <si>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</si>
  <si>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</si>
  <si>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</si>
  <si>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</si>
  <si>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</si>
  <si>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</si>
  <si>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</si>
  <si>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</si>
  <si>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</si>
  <si>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</si>
  <si>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</si>
  <si>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</si>
  <si>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</si>
  <si>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</si>
  <si>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</si>
  <si>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</si>
  <si>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</si>
  <si>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</si>
  <si>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</si>
  <si>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</si>
  <si>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</si>
  <si>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</si>
  <si>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</si>
  <si>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</si>
  <si>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</si>
  <si>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</si>
  <si>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</si>
  <si>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</si>
  <si>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</si>
  <si>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</si>
  <si>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</si>
  <si>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</si>
  <si>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</si>
  <si>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</si>
  <si>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</si>
  <si>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</si>
  <si>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</si>
  <si>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</si>
  <si>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</si>
  <si>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</si>
  <si>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</si>
  <si>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</si>
  <si>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</si>
  <si>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</si>
  <si>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</si>
  <si>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</si>
  <si>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</si>
  <si>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</si>
  <si>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</si>
  <si>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</si>
  <si>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</si>
  <si>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</si>
  <si>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</si>
  <si>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</si>
  <si>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</si>
  <si>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</si>
  <si>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</si>
  <si>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</si>
  <si>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</si>
  <si>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</si>
  <si>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</si>
  <si>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</si>
  <si>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</si>
  <si>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</si>
  <si>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</si>
  <si>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</si>
  <si>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</si>
  <si>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</si>
  <si>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</si>
  <si>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</si>
  <si>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</si>
  <si>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</si>
  <si>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</si>
  <si>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</si>
  <si>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</si>
  <si>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</si>
  <si>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</si>
  <si>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</si>
  <si>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</si>
  <si>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</si>
  <si>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</si>
  <si>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</si>
  <si>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</si>
  <si>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</si>
  <si>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</si>
  <si>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</si>
  <si>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</si>
  <si>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</si>
  <si>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</si>
  <si>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</si>
  <si>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</si>
  <si>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</si>
  <si>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</si>
  <si>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</si>
  <si>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</si>
  <si>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</si>
  <si>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</si>
  <si>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</si>
  <si>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</si>
  <si>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</si>
  <si>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</si>
  <si>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</si>
  <si>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</si>
  <si>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</si>
  <si>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</si>
  <si>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</si>
  <si>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</si>
  <si>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</si>
  <si>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</si>
  <si>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</si>
  <si>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</si>
  <si>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</si>
  <si>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</si>
  <si>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</si>
  <si>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</si>
  <si>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</si>
  <si>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</si>
  <si>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</si>
  <si>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</si>
  <si>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</si>
  <si>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</si>
  <si>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</si>
  <si>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</si>
  <si>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</si>
  <si>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</si>
  <si>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</si>
  <si>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</si>
  <si>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</si>
  <si>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</si>
  <si>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</si>
  <si>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</si>
  <si>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</si>
  <si>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</si>
  <si>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</si>
  <si>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</si>
  <si>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</si>
  <si>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</si>
  <si>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</si>
  <si>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</si>
  <si>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</si>
  <si>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</si>
  <si>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</si>
  <si>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</si>
  <si>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</si>
  <si>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</si>
  <si>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</si>
  <si>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</si>
  <si>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</si>
  <si>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</si>
  <si>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</si>
  <si>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</si>
  <si>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</si>
  <si>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</si>
  <si>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</si>
  <si>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</si>
  <si>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</si>
  <si>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</si>
  <si>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</si>
  <si>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</si>
  <si>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</si>
  <si>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</si>
  <si>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</si>
  <si>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</si>
  <si>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</si>
  <si>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</si>
  <si>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</si>
  <si>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</si>
  <si>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</si>
  <si>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</si>
  <si>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</si>
  <si>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</si>
  <si>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</si>
  <si>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</si>
  <si>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</si>
  <si>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</si>
  <si>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</si>
  <si>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</si>
  <si>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</si>
  <si>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</si>
  <si>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</si>
  <si>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</si>
  <si>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</si>
  <si>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</si>
  <si>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</si>
  <si>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</si>
  <si>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</si>
  <si>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</si>
  <si>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</si>
  <si>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</si>
  <si>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</si>
  <si>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</si>
  <si>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</si>
  <si>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</si>
  <si>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</si>
  <si>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</si>
  <si>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</si>
  <si>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</si>
  <si>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</si>
  <si>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</si>
  <si>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</si>
  <si>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</si>
  <si>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</si>
  <si>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</si>
  <si>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</si>
  <si>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</si>
  <si>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</si>
  <si>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</si>
  <si>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</si>
  <si>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</si>
  <si>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</si>
  <si>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</si>
  <si>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</si>
  <si>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</si>
  <si>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</si>
  <si>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</si>
  <si>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</si>
  <si>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</si>
  <si>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</si>
  <si>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</si>
  <si>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</si>
  <si>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</si>
  <si>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</si>
  <si>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</si>
  <si>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</si>
  <si>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</si>
  <si>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</si>
  <si>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</si>
  <si>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</si>
  <si>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</si>
  <si>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</si>
  <si>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</si>
  <si>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</si>
  <si>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</si>
  <si>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</si>
  <si>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</si>
  <si>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</si>
  <si>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</si>
  <si>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</si>
  <si>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</si>
  <si>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</si>
  <si>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</si>
  <si>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</si>
  <si>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</si>
  <si>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</si>
  <si>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</si>
  <si>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</si>
  <si>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</si>
  <si>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</si>
  <si>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</si>
  <si>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</si>
  <si>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</si>
  <si>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</si>
  <si>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</si>
  <si>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</si>
  <si>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</si>
  <si>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</si>
  <si>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</si>
  <si>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</si>
  <si>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</si>
  <si>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</si>
  <si>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</si>
  <si>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</si>
  <si>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</si>
  <si>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</si>
  <si>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</si>
  <si>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</si>
  <si>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</si>
  <si>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</si>
  <si>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</si>
  <si>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</si>
  <si>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</si>
  <si>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</si>
  <si>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</si>
  <si>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</si>
  <si>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</si>
  <si>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</si>
  <si>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</si>
  <si>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</si>
  <si>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</si>
  <si>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</si>
  <si>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</si>
  <si>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</si>
  <si>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</si>
  <si>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</si>
  <si>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</si>
  <si>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</si>
  <si>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</si>
  <si>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</si>
  <si>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</si>
  <si>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</si>
  <si>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</si>
  <si>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</si>
  <si>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</si>
  <si>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</si>
  <si>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</si>
  <si>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</si>
  <si>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</si>
  <si>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</si>
  <si>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</si>
  <si>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</si>
  <si>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</si>
  <si>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</si>
  <si>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</si>
  <si>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</si>
  <si>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</si>
  <si>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</si>
  <si>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</si>
  <si>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</si>
  <si>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</si>
  <si>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</si>
  <si>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</si>
  <si>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</si>
  <si>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</si>
  <si>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</si>
  <si>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</si>
  <si>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</si>
  <si>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</si>
  <si>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</si>
  <si>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</si>
  <si>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</si>
  <si>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</si>
  <si>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</si>
  <si>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</si>
  <si>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</si>
  <si>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</si>
  <si>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</si>
  <si>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</si>
  <si>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</si>
  <si>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</si>
  <si>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</si>
  <si>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</si>
  <si>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</si>
  <si>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</si>
  <si>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</si>
  <si>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</si>
  <si>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</si>
  <si>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</si>
  <si>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</si>
  <si>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</si>
  <si>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</si>
  <si>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</si>
  <si>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</si>
  <si>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</si>
  <si>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</si>
  <si>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</si>
  <si>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</si>
  <si>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</si>
  <si>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</si>
  <si>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</si>
  <si>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</si>
  <si>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</si>
  <si>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</si>
  <si>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</si>
  <si>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</si>
  <si>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</si>
  <si>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</si>
  <si>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</si>
  <si>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</si>
  <si>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</si>
  <si>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</si>
  <si>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</si>
  <si>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</si>
  <si>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</si>
  <si>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</si>
  <si>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</si>
  <si>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</si>
  <si>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</si>
  <si>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</si>
  <si>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</si>
  <si>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</si>
  <si>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</si>
  <si>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</si>
  <si>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</si>
  <si>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</si>
  <si>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</si>
  <si>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</si>
  <si>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</si>
  <si>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</si>
  <si>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</si>
  <si>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</si>
  <si>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</si>
  <si>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</si>
  <si>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</si>
  <si>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</si>
  <si>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</si>
  <si>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</si>
  <si>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</si>
  <si>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</si>
  <si>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</si>
  <si>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</si>
  <si>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</si>
  <si>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</si>
  <si>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</si>
  <si>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</si>
  <si>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</si>
  <si>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</si>
  <si>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</si>
  <si>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</si>
  <si>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</si>
  <si>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</si>
  <si>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</si>
  <si>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</si>
  <si>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</si>
  <si>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</si>
  <si>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</si>
  <si>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</si>
  <si>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</si>
  <si>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</si>
  <si>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</si>
  <si>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</si>
  <si>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</si>
  <si>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</si>
  <si>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</si>
  <si>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</si>
  <si>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</si>
  <si>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</si>
  <si>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</si>
  <si>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</si>
  <si>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</si>
  <si>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</si>
  <si>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</si>
  <si>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</si>
  <si>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</si>
  <si>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</si>
  <si>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</si>
  <si>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</si>
  <si>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</si>
  <si>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</si>
  <si>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</si>
  <si>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</si>
  <si>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</si>
  <si>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</si>
  <si>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</si>
  <si>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</si>
  <si>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</si>
  <si>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</si>
  <si>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</si>
  <si>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</si>
  <si>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</si>
  <si>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</si>
  <si>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</si>
  <si>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</si>
  <si>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</si>
  <si>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</si>
  <si>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</si>
  <si>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</si>
  <si>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</si>
  <si>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</si>
  <si>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</si>
  <si>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</si>
  <si>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</si>
  <si>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</si>
  <si>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</si>
  <si>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</si>
  <si>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</si>
  <si>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</si>
  <si>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</si>
  <si>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</si>
  <si>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</si>
  <si>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</si>
  <si>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</si>
  <si>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</si>
  <si>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</si>
  <si>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</si>
  <si>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</si>
  <si>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</si>
  <si>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</si>
  <si>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</si>
  <si>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</si>
  <si>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</si>
  <si>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</si>
  <si>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</si>
  <si>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</si>
  <si>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</si>
  <si>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</si>
  <si>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</si>
  <si>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</si>
  <si>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</si>
  <si>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</si>
  <si>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</si>
  <si>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</si>
  <si>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</si>
  <si>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</si>
  <si>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</si>
  <si>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</si>
  <si>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</si>
  <si>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</si>
  <si>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</si>
  <si>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</si>
  <si>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</si>
  <si>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</si>
  <si>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</si>
  <si>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</si>
  <si>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</si>
  <si>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</si>
  <si>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</si>
  <si>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</si>
  <si>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</si>
  <si>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</si>
  <si>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</si>
  <si>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</si>
  <si>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</si>
  <si>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</si>
  <si>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</si>
  <si>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</si>
  <si>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</si>
  <si>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</si>
  <si>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</si>
  <si>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</si>
  <si>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</si>
  <si>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</si>
  <si>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</si>
  <si>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</si>
  <si>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</si>
  <si>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</si>
  <si>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</si>
  <si>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</si>
  <si>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</si>
  <si>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</si>
  <si>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</si>
  <si>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</si>
  <si>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</si>
  <si>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</si>
  <si>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</si>
  <si>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</si>
  <si>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</si>
  <si>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</si>
  <si>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</si>
  <si>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</si>
  <si>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</si>
  <si>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</si>
  <si>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</si>
  <si>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</si>
  <si>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</si>
  <si>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</si>
  <si>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</si>
  <si>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</si>
  <si>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</si>
  <si>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</si>
  <si>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</si>
  <si>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</si>
  <si>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</si>
  <si>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</si>
  <si>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</si>
  <si>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</si>
  <si>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</si>
  <si>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</si>
  <si>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</si>
  <si>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</si>
  <si>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</si>
  <si>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</si>
  <si>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</si>
  <si>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</si>
  <si>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</si>
  <si>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</si>
  <si>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</si>
  <si>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</si>
  <si>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</si>
  <si>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</si>
  <si>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</si>
  <si>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</si>
  <si>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</si>
  <si>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</si>
  <si>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</si>
  <si>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</si>
  <si>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</si>
  <si>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</si>
  <si>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</si>
  <si>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</si>
  <si>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</si>
  <si>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</si>
  <si>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</si>
  <si>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</si>
  <si>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</si>
  <si>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</si>
  <si>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</si>
  <si>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</si>
  <si>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</si>
  <si>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</si>
  <si>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</si>
  <si>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</si>
  <si>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</si>
  <si>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</si>
  <si>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</si>
  <si>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</si>
  <si>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</si>
  <si>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</si>
  <si>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</si>
  <si>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</si>
  <si>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</si>
  <si>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</si>
  <si>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</si>
  <si>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</si>
  <si>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</si>
  <si>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</si>
  <si>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</si>
  <si>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</si>
  <si>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</si>
  <si>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</si>
  <si>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</si>
  <si>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</si>
  <si>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</si>
  <si>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</si>
  <si>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</si>
  <si>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</si>
  <si>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</si>
  <si>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</si>
  <si>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</si>
  <si>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</si>
  <si>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</si>
  <si>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</si>
  <si>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</si>
  <si>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</si>
  <si>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</si>
  <si>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</si>
  <si>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</si>
  <si>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</si>
  <si>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</si>
  <si>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</si>
  <si>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</si>
  <si>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</si>
  <si>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</si>
  <si>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</si>
  <si>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</si>
  <si>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</si>
  <si>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</si>
  <si>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</si>
  <si>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</si>
  <si>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</si>
  <si>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</si>
  <si>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</si>
  <si>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</si>
  <si>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</si>
  <si>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</si>
  <si>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</si>
  <si>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</si>
  <si>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</si>
  <si>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</si>
  <si>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</si>
  <si>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</si>
  <si>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</si>
  <si>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</si>
  <si>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</si>
  <si>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</si>
  <si>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</si>
  <si>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</si>
  <si>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</si>
  <si>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</si>
  <si>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</si>
  <si>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</si>
  <si>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</si>
  <si>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</si>
  <si>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</si>
  <si>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</si>
  <si>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</si>
  <si>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</si>
  <si>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</si>
  <si>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</si>
  <si>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</si>
  <si>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</si>
  <si>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</si>
  <si>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</si>
  <si>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</si>
  <si>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</si>
  <si>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</si>
  <si>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</si>
  <si>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</si>
  <si>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</si>
  <si>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</si>
  <si>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</si>
  <si>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</si>
  <si>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</si>
  <si>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</si>
  <si>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</si>
  <si>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</si>
  <si>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</si>
  <si>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</si>
  <si>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</si>
  <si>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</si>
  <si>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</si>
  <si>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</si>
  <si>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</si>
  <si>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</si>
  <si>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</si>
  <si>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</si>
  <si>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</si>
  <si>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</si>
  <si>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</si>
  <si>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</si>
  <si>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</si>
  <si>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</si>
  <si>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</si>
  <si>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</si>
  <si>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</si>
  <si>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</si>
  <si>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</si>
  <si>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</si>
  <si>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</si>
  <si>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</si>
  <si>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</si>
  <si>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</si>
  <si>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</si>
  <si>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</si>
  <si>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</si>
  <si>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</si>
  <si>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</si>
  <si>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</si>
  <si>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</si>
  <si>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</si>
  <si>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</si>
  <si>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</si>
  <si>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</si>
  <si>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</si>
  <si>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</si>
  <si>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</si>
  <si>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</si>
  <si>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</si>
  <si>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</si>
  <si>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</si>
  <si>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</si>
  <si>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</si>
  <si>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</si>
  <si>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</si>
  <si>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</si>
  <si>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</si>
  <si>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</si>
  <si>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</si>
  <si>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</si>
  <si>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</si>
  <si>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</si>
  <si>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</si>
  <si>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</si>
  <si>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</si>
  <si>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</si>
  <si>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</si>
  <si>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</si>
  <si>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</si>
  <si>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</si>
  <si>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</si>
  <si>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</si>
  <si>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</si>
  <si>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</si>
  <si>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</si>
  <si>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</si>
  <si>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</si>
  <si>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</si>
  <si>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</si>
  <si>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</si>
  <si>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</si>
  <si>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</si>
  <si>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</si>
  <si>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</si>
  <si>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</si>
  <si>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</si>
  <si>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</si>
  <si>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</si>
  <si>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</si>
  <si>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</si>
  <si>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</si>
  <si>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</si>
  <si>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</si>
  <si>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</si>
  <si>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</si>
  <si>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</si>
  <si>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</si>
  <si>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</si>
  <si>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</si>
  <si>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</si>
  <si>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</si>
  <si>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</si>
  <si>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</si>
  <si>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</si>
  <si>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</si>
  <si>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</si>
  <si>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</si>
  <si>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</si>
  <si>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</si>
  <si>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</si>
  <si>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</si>
  <si>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</si>
  <si>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</si>
  <si>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</si>
  <si>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</si>
  <si>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</si>
  <si>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</si>
  <si>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</si>
  <si>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</si>
  <si>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</si>
  <si>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</si>
  <si>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</si>
  <si>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</si>
  <si>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</si>
  <si>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</si>
  <si>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</si>
  <si>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</si>
  <si>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</si>
  <si>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</si>
  <si>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</si>
  <si>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</si>
  <si>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</si>
  <si>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</si>
  <si>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</si>
  <si>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</si>
  <si>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</si>
  <si>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</si>
  <si>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</si>
  <si>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</si>
  <si>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</si>
  <si>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</si>
  <si>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</si>
  <si>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</si>
  <si>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</si>
  <si>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</si>
  <si>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</si>
  <si>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</si>
  <si>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</si>
  <si>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</si>
  <si>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</si>
  <si>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</si>
  <si>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</si>
  <si>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</si>
  <si>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</si>
  <si>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</si>
  <si>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</si>
  <si>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</si>
  <si>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</si>
  <si>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</si>
  <si>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</si>
  <si>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</si>
  <si>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</si>
  <si>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</si>
  <si>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</si>
  <si>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</si>
  <si>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</si>
  <si>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</si>
  <si>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</si>
  <si>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</si>
  <si>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</si>
  <si>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</si>
  <si>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</si>
  <si>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</si>
  <si>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</si>
  <si>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</si>
  <si>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</si>
  <si>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</si>
  <si>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</si>
  <si>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</si>
  <si>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</si>
  <si>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</si>
  <si>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</si>
  <si>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</si>
  <si>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</si>
  <si>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</si>
  <si>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</si>
  <si>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</si>
  <si>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</si>
  <si>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</si>
  <si>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</si>
  <si>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</si>
  <si>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</si>
  <si>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</si>
  <si>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</si>
  <si>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</si>
  <si>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</si>
  <si>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</si>
  <si>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</si>
  <si>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</si>
  <si>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</si>
  <si>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</si>
  <si>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</si>
  <si>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</si>
  <si>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</si>
  <si>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</si>
  <si>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</si>
  <si>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</si>
  <si>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</si>
  <si>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</si>
  <si>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</si>
  <si>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</si>
  <si>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</si>
  <si>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</si>
  <si>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</si>
  <si>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</si>
  <si>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</si>
  <si>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</si>
  <si>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</si>
  <si>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</si>
  <si>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</si>
  <si>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</si>
  <si>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</si>
  <si>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</si>
  <si>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</si>
  <si>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</si>
  <si>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</si>
  <si>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</si>
  <si>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</si>
  <si>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</si>
  <si>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</si>
  <si>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</si>
  <si>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</si>
  <si>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</si>
  <si>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</si>
  <si>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</si>
  <si>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</si>
  <si>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</si>
  <si>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</si>
  <si>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</si>
  <si>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</si>
  <si>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</si>
  <si>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</si>
  <si>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</si>
  <si>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</si>
  <si>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</si>
  <si>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</si>
  <si>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</si>
  <si>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</si>
  <si>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</si>
  <si>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</si>
  <si>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</si>
  <si>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</si>
  <si>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</si>
  <si>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</si>
  <si>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</si>
  <si>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</si>
  <si>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</si>
  <si>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</si>
  <si>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</si>
  <si>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</si>
  <si>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</si>
  <si>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</si>
  <si>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</si>
  <si>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</si>
  <si>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</si>
  <si>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</si>
  <si>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</si>
  <si>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</si>
  <si>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</si>
  <si>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</si>
  <si>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</si>
  <si>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</si>
  <si>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</si>
  <si>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</si>
  <si>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</si>
  <si>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</si>
  <si>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</si>
  <si>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</si>
  <si>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</si>
  <si>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</si>
  <si>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</si>
  <si>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</si>
  <si>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</si>
  <si>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</si>
  <si>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</si>
  <si>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</si>
  <si>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</si>
  <si>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</si>
  <si>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</si>
  <si>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</si>
  <si>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</si>
  <si>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</si>
  <si>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</si>
  <si>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</si>
  <si>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</si>
  <si>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</si>
  <si>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</si>
  <si>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</si>
  <si>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</si>
  <si>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</si>
  <si>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</si>
  <si>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</si>
  <si>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</si>
  <si>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</si>
  <si>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</si>
  <si>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</si>
  <si>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</si>
  <si>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</si>
  <si>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</si>
  <si>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</si>
  <si>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</si>
  <si>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</si>
  <si>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</si>
  <si>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</si>
  <si>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</si>
  <si>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</si>
  <si>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</si>
  <si>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</si>
  <si>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</si>
  <si>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</si>
  <si>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</si>
  <si>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</si>
  <si>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</si>
  <si>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</si>
  <si>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</si>
  <si>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</si>
  <si>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</si>
  <si>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</si>
  <si>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</si>
  <si>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</si>
  <si>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</si>
  <si>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</si>
  <si>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</si>
  <si>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</si>
  <si>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</si>
  <si>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</si>
  <si>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</si>
  <si>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</si>
  <si>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</si>
  <si>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</si>
  <si>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</si>
  <si>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</si>
  <si>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</si>
  <si>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</si>
  <si>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</si>
  <si>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</si>
  <si>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</si>
  <si>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</si>
  <si>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</si>
  <si>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</si>
  <si>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</si>
  <si>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</si>
  <si>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</si>
  <si>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</si>
  <si>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</si>
  <si>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</si>
  <si>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</si>
  <si>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</si>
  <si>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</si>
  <si>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</si>
  <si>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</si>
  <si>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</si>
  <si>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</si>
  <si>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</si>
  <si>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</si>
  <si>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</si>
  <si>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</si>
  <si>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</si>
  <si>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</si>
  <si>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</si>
  <si>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</si>
  <si>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</si>
  <si>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</si>
  <si>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</si>
  <si>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</si>
  <si>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</si>
  <si>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</si>
  <si>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</si>
  <si>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</si>
  <si>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</si>
  <si>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</si>
  <si>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</si>
  <si>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</si>
  <si>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</si>
  <si>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</si>
  <si>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</si>
  <si>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</si>
  <si>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</si>
  <si>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</si>
  <si>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</si>
  <si>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</si>
  <si>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</si>
  <si>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</si>
  <si>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</si>
  <si>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</si>
  <si>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</si>
  <si>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</si>
  <si>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</si>
  <si>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</si>
  <si>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</si>
  <si>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</si>
  <si>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</si>
  <si>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</si>
  <si>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</si>
  <si>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</si>
  <si>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</si>
  <si>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</si>
  <si>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</si>
  <si>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</si>
  <si>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</si>
  <si>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</si>
  <si>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</si>
  <si>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</si>
  <si>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</si>
  <si>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</si>
  <si>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</si>
  <si>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</si>
  <si>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</si>
  <si>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</si>
  <si>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</si>
  <si>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</si>
  <si>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</si>
  <si>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</si>
  <si>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</si>
  <si>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</si>
  <si>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</si>
  <si>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</si>
  <si>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</si>
  <si>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</si>
  <si>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</si>
  <si>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</si>
  <si>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</si>
  <si>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</si>
  <si>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</si>
  <si>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</si>
  <si>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</si>
  <si>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</si>
  <si>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</si>
  <si>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</si>
  <si>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</si>
  <si>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</si>
  <si>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</si>
  <si>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</si>
  <si>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</si>
  <si>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</si>
  <si>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</si>
  <si>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</si>
  <si>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</si>
  <si>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</si>
  <si>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</si>
  <si>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</si>
  <si>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</si>
  <si>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</si>
  <si>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</si>
  <si>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</si>
  <si>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</si>
  <si>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</si>
  <si>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</si>
  <si>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</si>
  <si>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</si>
  <si>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</si>
  <si>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</si>
  <si>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</si>
  <si>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</si>
  <si>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</si>
  <si>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</si>
  <si>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</si>
  <si>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</si>
  <si>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</si>
  <si>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</si>
  <si>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</si>
  <si>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</si>
  <si>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</si>
  <si>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</si>
  <si>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</si>
  <si>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</si>
  <si>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</si>
  <si>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</si>
  <si>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</si>
  <si>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</si>
  <si>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</si>
  <si>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</si>
  <si>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</si>
  <si>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</si>
  <si>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</si>
  <si>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</si>
  <si>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</si>
  <si>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</si>
  <si>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</si>
  <si>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</si>
  <si>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</si>
  <si>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</si>
  <si>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</si>
  <si>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</si>
  <si>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</si>
  <si>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</si>
  <si>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</si>
  <si>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</si>
  <si>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</si>
  <si>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</si>
  <si>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</si>
  <si>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</si>
  <si>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</si>
  <si>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</si>
  <si>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</si>
  <si>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</si>
  <si>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</si>
  <si>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</si>
  <si>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</si>
  <si>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</si>
  <si>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</si>
  <si>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</si>
  <si>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</si>
  <si>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</si>
  <si>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</si>
  <si>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</si>
  <si>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</si>
  <si>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</si>
  <si>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</si>
  <si>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</si>
  <si>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</si>
  <si>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</si>
  <si>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</si>
  <si>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</si>
  <si>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</si>
  <si>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</si>
  <si>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</si>
  <si>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</si>
  <si>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</si>
  <si>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</si>
  <si>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</si>
  <si>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</si>
  <si>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</si>
  <si>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</si>
  <si>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</si>
  <si>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</si>
  <si>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</si>
  <si>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</si>
  <si>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</si>
  <si>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</si>
  <si>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</si>
  <si>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</si>
  <si>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</si>
  <si>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</si>
  <si>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</si>
  <si>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</si>
  <si>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</si>
  <si>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</si>
  <si>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</si>
  <si>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</si>
  <si>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</si>
  <si>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</si>
  <si>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</si>
  <si>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</si>
  <si>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</si>
  <si>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</si>
  <si>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</si>
  <si>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</si>
  <si>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</si>
  <si>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</si>
  <si>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</si>
  <si>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</si>
  <si>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</si>
  <si>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</si>
  <si>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</si>
  <si>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</si>
  <si>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</si>
  <si>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</si>
  <si>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</si>
  <si>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</si>
  <si>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</si>
  <si>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</si>
  <si>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</si>
  <si>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</si>
  <si>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</si>
  <si>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</si>
  <si>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</si>
  <si>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</si>
  <si>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</si>
  <si>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</si>
  <si>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</si>
  <si>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</si>
  <si>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</si>
  <si>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</si>
  <si>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</si>
  <si>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</si>
  <si>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</si>
  <si>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</si>
  <si>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</si>
  <si>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</si>
  <si>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</si>
  <si>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</si>
  <si>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</si>
  <si>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</si>
  <si>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</si>
  <si>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</si>
  <si>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</si>
  <si>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</si>
  <si>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</si>
  <si>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</si>
  <si>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</si>
  <si>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</si>
  <si>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</si>
  <si>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</si>
  <si>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</si>
  <si>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</si>
  <si>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</si>
  <si>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</si>
  <si>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</si>
  <si>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</si>
  <si>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</si>
  <si>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</si>
  <si>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</si>
  <si>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</si>
  <si>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</si>
  <si>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</si>
  <si>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</si>
  <si>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</si>
  <si>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</si>
  <si>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</si>
  <si>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</si>
  <si>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</si>
  <si>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</si>
  <si>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</si>
  <si>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</si>
  <si>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</si>
  <si>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</si>
  <si>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</si>
  <si>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</si>
  <si>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</si>
  <si>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</si>
  <si>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</si>
  <si>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</si>
  <si>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</si>
  <si>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</si>
  <si>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</si>
  <si>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</si>
  <si>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</si>
  <si>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</si>
  <si>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</si>
  <si>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</si>
  <si>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</si>
  <si>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</si>
  <si>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</si>
  <si>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</si>
  <si>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</si>
  <si>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</si>
  <si>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</si>
  <si>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</si>
  <si>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</si>
  <si>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</si>
  <si>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</si>
  <si>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</si>
  <si>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</si>
  <si>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</si>
  <si>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</si>
  <si>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</si>
  <si>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</si>
  <si>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</si>
  <si>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</si>
  <si>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</si>
  <si>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</si>
  <si>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</si>
  <si>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</si>
  <si>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</si>
  <si>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</si>
  <si>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</si>
  <si>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</si>
  <si>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</si>
  <si>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</si>
  <si>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</si>
  <si>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</si>
  <si>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</si>
  <si>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</si>
  <si>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</si>
  <si>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</si>
  <si>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</si>
  <si>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</si>
  <si>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</si>
  <si>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</si>
  <si>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</si>
  <si>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</si>
  <si>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</si>
  <si>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</si>
  <si>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</si>
  <si>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</si>
  <si>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</si>
  <si>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</si>
  <si>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</si>
  <si>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</si>
  <si>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</si>
  <si>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</si>
  <si>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</si>
  <si>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</si>
  <si>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</si>
  <si>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</si>
  <si>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</si>
  <si>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</si>
  <si>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</si>
  <si>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</si>
  <si>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</si>
  <si>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</si>
  <si>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</si>
  <si>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</si>
  <si>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</si>
  <si>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</si>
  <si>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</si>
  <si>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</si>
  <si>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</si>
  <si>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</si>
  <si>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</si>
  <si>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</si>
  <si>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</si>
  <si>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</si>
  <si>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</si>
  <si>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</si>
  <si>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</si>
  <si>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</si>
  <si>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</si>
  <si>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</si>
  <si>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</si>
  <si>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</si>
  <si>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</si>
  <si>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</si>
  <si>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</si>
  <si>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</si>
  <si>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</si>
  <si>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</si>
  <si>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</si>
  <si>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</si>
  <si>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</si>
  <si>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</si>
  <si>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</si>
  <si>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</si>
  <si>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</si>
  <si>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</si>
  <si>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</si>
  <si>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</si>
  <si>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</si>
  <si>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</si>
  <si>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</si>
  <si>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</si>
  <si>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</si>
  <si>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</si>
  <si>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</si>
  <si>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</si>
  <si>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</si>
  <si>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</si>
  <si>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</si>
  <si>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</si>
  <si>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</si>
  <si>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</si>
  <si>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</si>
  <si>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</si>
  <si>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</si>
  <si>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</si>
  <si>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</si>
  <si>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</si>
  <si>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</si>
  <si>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</si>
  <si>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</si>
  <si>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</si>
  <si>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</si>
  <si>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</si>
  <si>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</si>
  <si>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</si>
  <si>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</si>
  <si>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</si>
  <si>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</si>
  <si>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</si>
  <si>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</si>
  <si>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</si>
  <si>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</si>
  <si>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</si>
  <si>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</si>
  <si>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</si>
  <si>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</si>
  <si>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</si>
  <si>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</si>
  <si>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</si>
  <si>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</si>
  <si>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</si>
  <si>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</si>
  <si>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</si>
  <si>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</si>
  <si>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</si>
  <si>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</si>
  <si>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</si>
  <si>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</si>
  <si>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</si>
  <si>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</si>
  <si>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</si>
  <si>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</si>
  <si>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</si>
  <si>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</si>
  <si>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</si>
  <si>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</si>
  <si>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</si>
  <si>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</si>
  <si>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</si>
  <si>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</si>
  <si>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</si>
  <si>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</si>
  <si>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</si>
  <si>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</si>
  <si>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</si>
  <si>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</si>
  <si>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</si>
  <si>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</si>
  <si>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</si>
  <si>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</si>
  <si>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</si>
  <si>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</si>
  <si>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</si>
  <si>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</si>
  <si>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</si>
  <si>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</si>
  <si>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</si>
  <si>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</si>
  <si>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</si>
  <si>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</si>
  <si>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</si>
  <si>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</si>
  <si>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</si>
  <si>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</si>
  <si>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</si>
  <si>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</si>
  <si>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</si>
  <si>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</si>
  <si>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</si>
  <si>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</si>
  <si>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</si>
  <si>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</si>
  <si>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</si>
  <si>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</si>
  <si>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</si>
  <si>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</si>
  <si>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</si>
  <si>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</si>
  <si>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</si>
  <si>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</si>
  <si>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</si>
  <si>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</si>
  <si>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</si>
  <si>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</si>
  <si>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</si>
  <si>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</si>
  <si>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</si>
  <si>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</si>
  <si>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</si>
  <si>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</si>
  <si>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</si>
  <si>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</si>
  <si>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</si>
  <si>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</si>
  <si>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</si>
  <si>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</si>
  <si>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</si>
  <si>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</si>
  <si>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</si>
  <si>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</si>
  <si>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</si>
  <si>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</si>
  <si>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</si>
  <si>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</si>
  <si>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</si>
  <si>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</si>
  <si>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</si>
  <si>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</si>
  <si>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</si>
  <si>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</si>
  <si>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</si>
  <si>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</si>
  <si>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</si>
  <si>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</si>
  <si>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</si>
  <si>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</si>
  <si>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</si>
  <si>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</si>
  <si>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</si>
  <si>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</si>
  <si>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</si>
  <si>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</si>
  <si>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</si>
  <si>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</si>
  <si>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</si>
  <si>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</si>
  <si>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</si>
  <si>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</si>
  <si>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</si>
  <si>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</si>
  <si>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</si>
  <si>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</si>
  <si>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</si>
  <si>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</si>
  <si>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</si>
  <si>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</si>
  <si>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</si>
  <si>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</si>
  <si>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</si>
  <si>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</si>
  <si>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</si>
  <si>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</si>
  <si>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</si>
  <si>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</si>
  <si>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</si>
  <si>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</si>
  <si>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</si>
  <si>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</si>
  <si>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</si>
  <si>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</si>
  <si>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</si>
  <si>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</si>
  <si>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</si>
  <si>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</si>
  <si>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</si>
  <si>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</si>
  <si>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</si>
  <si>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</si>
  <si>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</si>
  <si>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</si>
  <si>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</si>
  <si>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</si>
  <si>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</si>
  <si>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</si>
  <si>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</si>
  <si>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</si>
  <si>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</si>
  <si>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</si>
  <si>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</si>
  <si>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</si>
  <si>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</si>
  <si>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</si>
  <si>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</si>
  <si>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</si>
  <si>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</si>
  <si>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</si>
  <si>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</si>
  <si>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</si>
  <si>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</si>
  <si>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</si>
  <si>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</si>
  <si>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</si>
  <si>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</si>
  <si>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</si>
  <si>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</si>
  <si>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</si>
  <si>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</si>
  <si>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</si>
  <si>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</si>
  <si>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</si>
  <si>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</si>
  <si>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</si>
  <si>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</si>
  <si>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</si>
  <si>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</si>
  <si>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</si>
  <si>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</si>
  <si>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</si>
  <si>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</si>
  <si>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</si>
  <si>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</si>
  <si>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</si>
  <si>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</si>
  <si>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</si>
  <si>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</si>
  <si>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</si>
  <si>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</si>
  <si>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</si>
  <si>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</si>
  <si>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</si>
  <si>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</si>
  <si>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</si>
  <si>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</si>
  <si>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</si>
  <si>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</si>
  <si>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</si>
  <si>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</si>
  <si>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</si>
  <si>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</si>
  <si>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</si>
  <si>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</si>
  <si>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</si>
  <si>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</si>
  <si>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</si>
  <si>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</si>
  <si>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</si>
  <si>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</si>
  <si>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</si>
  <si>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</si>
  <si>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</si>
  <si>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</si>
  <si>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</si>
  <si>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</si>
  <si>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</si>
  <si>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</si>
  <si>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</si>
  <si>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</si>
  <si>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</si>
  <si>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</si>
  <si>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</si>
  <si>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</si>
  <si>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</si>
  <si>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</si>
  <si>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</si>
  <si>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</si>
  <si>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</si>
  <si>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</si>
  <si>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</si>
  <si>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</si>
  <si>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</si>
  <si>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</si>
  <si>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</si>
  <si>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</si>
  <si>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</si>
  <si>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</si>
  <si>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</si>
  <si>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</si>
  <si>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</si>
  <si>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</si>
  <si>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</si>
  <si>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</si>
  <si>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</si>
  <si>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</si>
  <si>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</si>
  <si>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</si>
  <si>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</si>
  <si>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</si>
  <si>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</si>
  <si>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</si>
  <si>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</si>
  <si>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</si>
  <si>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</si>
  <si>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</si>
  <si>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</si>
  <si>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</si>
  <si>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</si>
  <si>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</si>
  <si>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</si>
  <si>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</si>
  <si>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</si>
  <si>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</si>
  <si>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</si>
  <si>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</si>
  <si>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</si>
  <si>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</si>
  <si>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</si>
  <si>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</si>
  <si>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</si>
  <si>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</si>
  <si>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</si>
  <si>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</si>
  <si>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</si>
  <si>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</si>
  <si>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</si>
  <si>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</si>
  <si>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</si>
  <si>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</si>
  <si>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</si>
  <si>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</si>
  <si>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</si>
  <si>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</si>
  <si>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</si>
  <si>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</si>
  <si>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</si>
  <si>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</si>
  <si>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</si>
  <si>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</si>
  <si>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</si>
  <si>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</si>
  <si>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</si>
  <si>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</si>
  <si>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</si>
  <si>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</si>
  <si>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</si>
  <si>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</si>
  <si>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</si>
  <si>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</si>
  <si>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</si>
  <si>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</si>
  <si>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</si>
  <si>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</si>
  <si>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</si>
  <si>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</si>
  <si>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</si>
  <si>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</si>
  <si>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</si>
  <si>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</si>
  <si>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</si>
  <si>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</si>
  <si>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</si>
  <si>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</si>
  <si>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</si>
  <si>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</si>
  <si>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</si>
  <si>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</si>
  <si>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</si>
  <si>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</si>
  <si>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</si>
  <si>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</si>
  <si>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</si>
  <si>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</si>
  <si>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</si>
  <si>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</si>
  <si>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</si>
  <si>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</si>
  <si>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</si>
  <si>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</si>
  <si>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</si>
  <si>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</si>
  <si>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</si>
  <si>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</si>
  <si>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</si>
  <si>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</si>
  <si>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</si>
  <si>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</si>
  <si>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</si>
  <si>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</si>
  <si>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</si>
  <si>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</si>
  <si>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</si>
  <si>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</si>
  <si>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</si>
  <si>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</si>
  <si>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</si>
  <si>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</si>
  <si>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</si>
  <si>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</si>
  <si>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</si>
  <si>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</si>
  <si>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</si>
  <si>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</si>
  <si>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</si>
  <si>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</si>
  <si>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</si>
  <si>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</si>
  <si>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</si>
  <si>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</si>
  <si>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</si>
  <si>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</si>
  <si>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</si>
  <si>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</si>
  <si>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</si>
  <si>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</si>
  <si>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</si>
  <si>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</si>
  <si>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</si>
  <si>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</si>
  <si>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</si>
  <si>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</si>
  <si>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</si>
  <si>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</si>
  <si>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</si>
  <si>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</si>
  <si>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</si>
  <si>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</si>
  <si>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</si>
  <si>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</si>
  <si>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</si>
  <si>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</si>
  <si>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</si>
  <si>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</si>
  <si>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</si>
  <si>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</si>
  <si>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</si>
  <si>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</si>
  <si>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</si>
  <si>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</si>
  <si>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</si>
  <si>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</si>
  <si>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</si>
  <si>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</si>
  <si>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</si>
  <si>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</si>
  <si>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</si>
  <si>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</si>
  <si>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</si>
  <si>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</si>
  <si>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</si>
  <si>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</si>
  <si>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</si>
  <si>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</si>
  <si>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</si>
  <si>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</si>
  <si>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</si>
  <si>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</si>
  <si>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</si>
  <si>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</si>
  <si>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</si>
  <si>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</si>
  <si>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</si>
  <si>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</si>
  <si>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</si>
  <si>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</si>
  <si>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</si>
  <si>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</si>
  <si>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</si>
  <si>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</si>
  <si>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</si>
  <si>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</si>
  <si>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</si>
  <si>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</si>
  <si>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</si>
  <si>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</si>
  <si>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</si>
  <si>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</si>
  <si>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</si>
  <si>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</si>
  <si>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</si>
  <si>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</si>
  <si>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</si>
  <si>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</si>
  <si>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</si>
  <si>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</si>
  <si>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</si>
  <si>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</si>
  <si>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</si>
  <si>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</si>
  <si>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</si>
  <si>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</si>
  <si>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</si>
  <si>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</si>
  <si>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</si>
  <si>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</si>
  <si>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</si>
  <si>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</si>
  <si>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</si>
  <si>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</si>
  <si>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</si>
  <si>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</si>
  <si>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</si>
  <si>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</si>
  <si>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</si>
  <si>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</si>
  <si>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</si>
  <si>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</si>
  <si>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</si>
  <si>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</si>
  <si>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</si>
  <si>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</si>
  <si>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</si>
  <si>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</si>
  <si>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</si>
  <si>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</si>
  <si>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</si>
  <si>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</si>
  <si>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</si>
  <si>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</si>
  <si>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</si>
  <si>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</si>
  <si>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</si>
  <si>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</si>
  <si>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</si>
  <si>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</si>
  <si>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</si>
  <si>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</si>
  <si>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</si>
  <si>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</si>
  <si>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</si>
  <si>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</si>
  <si>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</si>
  <si>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</si>
  <si>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</si>
  <si>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</si>
  <si>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</si>
  <si>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</si>
  <si>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</si>
  <si>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</si>
  <si>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</si>
  <si>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</si>
  <si>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</si>
  <si>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</si>
  <si>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</si>
  <si>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</si>
  <si>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</si>
  <si>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</si>
  <si>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</si>
  <si>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</si>
  <si>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</si>
  <si>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</si>
  <si>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</si>
  <si>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</si>
  <si>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</si>
  <si>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</si>
  <si>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</si>
  <si>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</si>
  <si>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</si>
  <si>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</si>
  <si>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</si>
  <si>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</si>
  <si>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</si>
  <si>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</si>
  <si>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</si>
  <si>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</si>
  <si>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</si>
  <si>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</si>
  <si>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</si>
  <si>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</si>
  <si>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</si>
  <si>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</si>
  <si>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</si>
  <si>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</si>
  <si>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</si>
  <si>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</si>
  <si>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</si>
  <si>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</si>
  <si>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</si>
  <si>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</si>
  <si>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</si>
  <si>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</si>
  <si>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</si>
  <si>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</si>
  <si>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</si>
  <si>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</si>
  <si>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</si>
  <si>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</si>
  <si>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</si>
  <si>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</si>
  <si>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</si>
  <si>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</si>
  <si>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</si>
  <si>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</si>
  <si>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</si>
  <si>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</si>
  <si>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</si>
  <si>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</si>
  <si>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</si>
  <si>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</si>
  <si>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</si>
  <si>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</si>
  <si>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</si>
  <si>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</si>
  <si>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</si>
  <si>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</si>
  <si>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</si>
  <si>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</si>
  <si>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</si>
  <si>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</si>
  <si>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</si>
  <si>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</si>
  <si>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</si>
  <si>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</si>
  <si>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</si>
  <si>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</si>
  <si>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</si>
  <si>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</si>
  <si>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</si>
  <si>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</si>
  <si>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</si>
  <si>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</si>
  <si>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</si>
  <si>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</si>
  <si>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</si>
  <si>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</si>
  <si>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</si>
  <si>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</si>
  <si>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</si>
  <si>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</si>
  <si>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</si>
  <si>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</si>
  <si>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</si>
  <si>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</si>
  <si>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</si>
  <si>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</si>
  <si>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</si>
  <si>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</si>
  <si>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</si>
  <si>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</si>
  <si>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</si>
  <si>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</si>
  <si>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</si>
  <si>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</si>
  <si>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</si>
  <si>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</si>
  <si>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</si>
  <si>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</si>
  <si>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</si>
  <si>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</si>
  <si>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</si>
  <si>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</si>
  <si>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</si>
  <si>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</si>
  <si>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</si>
  <si>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</si>
  <si>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</si>
  <si>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</si>
  <si>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</si>
  <si>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</si>
  <si>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</si>
  <si>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</si>
  <si>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</si>
  <si>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</si>
  <si>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</si>
  <si>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</si>
  <si>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</si>
  <si>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</si>
  <si>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</si>
  <si>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</si>
  <si>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</si>
  <si>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</si>
  <si>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</si>
  <si>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</si>
  <si>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</si>
  <si>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</si>
  <si>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</si>
  <si>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</si>
  <si>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</si>
  <si>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</si>
  <si>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</si>
  <si>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</si>
  <si>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</si>
  <si>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</si>
  <si>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</si>
  <si>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</si>
  <si>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</si>
  <si>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</si>
  <si>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</si>
  <si>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</si>
  <si>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</si>
  <si>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</si>
  <si>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</si>
  <si>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</si>
  <si>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</si>
  <si>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</si>
  <si>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</si>
  <si>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</si>
  <si>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</si>
  <si>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</si>
  <si>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</si>
  <si>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</si>
  <si>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</si>
  <si>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</si>
  <si>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</si>
  <si>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</si>
  <si>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</si>
  <si>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</si>
  <si>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</si>
  <si>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</si>
  <si>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</si>
  <si>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</si>
  <si>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</si>
  <si>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</si>
  <si>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</si>
  <si>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</si>
  <si>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</si>
  <si>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</si>
  <si>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</si>
  <si>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</si>
  <si>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</si>
  <si>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</si>
  <si>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</si>
  <si>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</si>
  <si>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</si>
  <si>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</si>
  <si>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</si>
  <si>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</si>
  <si>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</si>
  <si>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</si>
  <si>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</si>
  <si>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</si>
  <si>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</si>
  <si>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</si>
  <si>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</si>
  <si>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</si>
  <si>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</si>
  <si>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</si>
  <si>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</si>
  <si>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</si>
  <si>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</si>
  <si>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</si>
  <si>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</si>
  <si>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</si>
  <si>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</si>
  <si>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</si>
  <si>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</si>
  <si>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</si>
  <si>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</si>
  <si>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</si>
  <si>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</si>
  <si>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</si>
  <si>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</si>
  <si>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</si>
  <si>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</si>
  <si>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</si>
  <si>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</si>
  <si>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</si>
  <si>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</si>
  <si>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</si>
  <si>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</si>
  <si>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</si>
  <si>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</si>
  <si>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</si>
  <si>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</si>
  <si>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</si>
  <si>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</si>
  <si>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</si>
  <si>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</si>
  <si>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</si>
  <si>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</si>
  <si>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</si>
  <si>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</si>
  <si>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</si>
  <si>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</si>
  <si>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</si>
  <si>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</si>
  <si>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</si>
  <si>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</si>
  <si>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</si>
  <si>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</si>
  <si>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</si>
  <si>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</si>
  <si>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</si>
  <si>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</si>
  <si>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</si>
  <si>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</si>
  <si>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</si>
  <si>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</si>
  <si>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</si>
  <si>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</si>
  <si>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</si>
  <si>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</si>
  <si>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</si>
  <si>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</si>
  <si>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</si>
  <si>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</si>
  <si>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</si>
  <si>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</si>
  <si>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</si>
  <si>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</si>
  <si>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</si>
  <si>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</si>
  <si>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</si>
  <si>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</si>
  <si>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</si>
  <si>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</si>
  <si>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</si>
  <si>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</si>
  <si>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</si>
  <si>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</si>
  <si>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</si>
  <si>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</si>
  <si>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</si>
  <si>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</si>
  <si>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</si>
  <si>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</si>
  <si>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</si>
  <si>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</si>
  <si>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</si>
  <si>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</si>
  <si>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</si>
  <si>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</si>
  <si>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</si>
  <si>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</si>
  <si>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</si>
  <si>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</si>
  <si>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</si>
  <si>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</si>
  <si>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</si>
  <si>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</si>
  <si>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</si>
  <si>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</si>
  <si>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</si>
  <si>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</si>
  <si>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</si>
  <si>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</si>
  <si>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</si>
  <si>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</si>
  <si>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</si>
  <si>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</si>
  <si>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</si>
  <si>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</si>
  <si>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</si>
  <si>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</si>
  <si>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</si>
  <si>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</si>
  <si>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</si>
  <si>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</si>
  <si>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</si>
  <si>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</si>
  <si>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</si>
  <si>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</si>
  <si>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</si>
  <si>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</si>
  <si>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</si>
  <si>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</si>
  <si>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</si>
  <si>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</si>
  <si>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</si>
  <si>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</si>
  <si>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</si>
  <si>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</si>
  <si>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</si>
  <si>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</si>
  <si>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</si>
  <si>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</si>
  <si>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</si>
  <si>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</si>
  <si>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</si>
  <si>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</si>
  <si>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</si>
  <si>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</si>
  <si>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</si>
  <si>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</si>
  <si>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</si>
  <si>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</si>
  <si>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</si>
  <si>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</si>
  <si>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</si>
  <si>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</si>
  <si>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</si>
  <si>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</si>
  <si>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</si>
  <si>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</si>
  <si>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</si>
  <si>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</si>
  <si>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</si>
  <si>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</si>
  <si>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</si>
  <si>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</si>
  <si>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</si>
  <si>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</si>
  <si>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</si>
  <si>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</si>
  <si>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</si>
  <si>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</si>
  <si>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</si>
  <si>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</si>
  <si>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</si>
  <si>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</si>
  <si>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</si>
  <si>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</si>
  <si>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</si>
  <si>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</si>
  <si>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</si>
  <si>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</si>
  <si>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</si>
  <si>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</si>
  <si>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</si>
  <si>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</si>
  <si>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</si>
  <si>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</si>
  <si>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</si>
  <si>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</si>
  <si>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</si>
  <si>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</si>
  <si>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</si>
  <si>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</si>
  <si>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</si>
  <si>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</si>
  <si>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</si>
  <si>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</si>
  <si>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</si>
  <si>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</si>
  <si>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</si>
  <si>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</si>
  <si>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</si>
  <si>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</si>
  <si>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</si>
  <si>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</si>
  <si>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</si>
  <si>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</si>
  <si>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</si>
  <si>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</si>
  <si>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</si>
  <si>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</si>
  <si>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</si>
  <si>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</si>
  <si>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</si>
  <si>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</si>
  <si>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</si>
  <si>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</si>
  <si>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</si>
  <si>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</si>
  <si>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</si>
  <si>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</si>
  <si>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</si>
  <si>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</si>
  <si>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</si>
  <si>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</si>
  <si>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</si>
  <si>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</si>
  <si>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</si>
  <si>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</si>
  <si>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</si>
  <si>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</si>
  <si>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</si>
  <si>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</si>
  <si>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</si>
  <si>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</si>
  <si>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</si>
  <si>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</si>
  <si>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</si>
  <si>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</si>
  <si>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</si>
  <si>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</si>
  <si>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</si>
  <si>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</si>
  <si>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</si>
  <si>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</si>
  <si>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</si>
  <si>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</si>
  <si>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</si>
  <si>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</si>
  <si>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</si>
  <si>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</si>
  <si>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</si>
  <si>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</si>
  <si>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</si>
  <si>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</si>
  <si>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</si>
  <si>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</si>
  <si>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</si>
  <si>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</si>
  <si>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</si>
  <si>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</si>
  <si>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</si>
  <si>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</si>
  <si>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</si>
  <si>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</si>
  <si>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</si>
  <si>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</si>
  <si>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</si>
  <si>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</si>
  <si>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</si>
  <si>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</si>
  <si>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</si>
  <si>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</si>
  <si>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</si>
  <si>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</si>
  <si>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</si>
  <si>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</si>
  <si>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</si>
  <si>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</si>
  <si>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</si>
  <si>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</si>
  <si>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</si>
  <si>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</si>
  <si>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</si>
  <si>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</si>
  <si>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</si>
  <si>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</si>
  <si>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</si>
  <si>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</si>
  <si>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</si>
  <si>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</si>
  <si>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</si>
  <si>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</si>
  <si>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</si>
  <si>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</si>
  <si>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</si>
  <si>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</si>
  <si>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</si>
  <si>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</si>
  <si>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</si>
  <si>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</si>
  <si>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</si>
  <si>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</si>
  <si>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</si>
  <si>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</si>
  <si>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</si>
  <si>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</si>
  <si>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</si>
  <si>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</si>
  <si>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</si>
  <si>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</si>
  <si>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</si>
  <si>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</si>
  <si>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</si>
  <si>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</si>
  <si>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</si>
  <si>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</si>
  <si>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</si>
  <si>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</si>
  <si>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</si>
  <si>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</si>
  <si>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</si>
  <si>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</si>
  <si>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</si>
  <si>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</si>
  <si>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</si>
  <si>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</si>
  <si>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</si>
  <si>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</si>
  <si>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</si>
  <si>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</si>
  <si>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</si>
  <si>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</si>
  <si>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</si>
  <si>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</si>
  <si>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</si>
  <si>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</si>
  <si>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</si>
  <si>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</si>
  <si>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</si>
  <si>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</si>
  <si>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</si>
  <si>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</si>
  <si>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</si>
  <si>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</si>
  <si>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</si>
  <si>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</si>
  <si>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</si>
  <si>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</si>
  <si>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</si>
  <si>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</si>
  <si>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</si>
  <si>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</si>
  <si>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</si>
  <si>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</si>
  <si>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</si>
  <si>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</si>
  <si>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</si>
  <si>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</si>
  <si>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</si>
  <si>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</si>
  <si>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</si>
  <si>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</si>
  <si>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</si>
  <si>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</si>
  <si>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</si>
  <si>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</si>
  <si>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</si>
  <si>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</si>
  <si>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</si>
  <si>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</si>
  <si>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</si>
  <si>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</si>
  <si>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</si>
  <si>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</si>
  <si>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</si>
  <si>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</si>
  <si>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</si>
  <si>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</si>
  <si>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</si>
  <si>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</si>
  <si>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</si>
  <si>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</si>
  <si>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</si>
  <si>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</si>
  <si>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</si>
  <si>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</si>
  <si>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</si>
  <si>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</si>
  <si>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</si>
  <si>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</si>
  <si>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</si>
  <si>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</si>
  <si>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</si>
  <si>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</si>
  <si>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</si>
  <si>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</si>
  <si>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</si>
  <si>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</si>
  <si>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</si>
  <si>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</si>
  <si>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</si>
  <si>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</si>
  <si>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</si>
  <si>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</si>
  <si>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</si>
  <si>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</si>
  <si>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</si>
  <si>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</si>
  <si>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</si>
  <si>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</si>
  <si>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</si>
  <si>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</si>
  <si>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</si>
  <si>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</si>
  <si>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</si>
  <si>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</si>
  <si>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</si>
  <si>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</si>
  <si>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</si>
  <si>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</si>
  <si>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</si>
  <si>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</si>
  <si>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</si>
  <si>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</si>
  <si>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</si>
  <si>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</si>
  <si>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</si>
  <si>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</si>
  <si>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</si>
  <si>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</si>
  <si>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</si>
  <si>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</si>
  <si>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</si>
  <si>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</si>
  <si>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</si>
  <si>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</si>
  <si>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</si>
  <si>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</si>
  <si>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</si>
  <si>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</si>
  <si>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</si>
  <si>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</si>
  <si>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</si>
  <si>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</si>
  <si>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</si>
  <si>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</si>
  <si>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</si>
  <si>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</si>
  <si>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</si>
  <si>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</si>
  <si>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</si>
  <si>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</si>
  <si>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</si>
  <si>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</si>
  <si>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</si>
  <si>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</si>
  <si>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</si>
  <si>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</si>
  <si>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</si>
  <si>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</si>
  <si>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</si>
  <si>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</si>
  <si>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</si>
  <si>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</si>
  <si>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</si>
  <si>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</si>
  <si>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</si>
  <si>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</si>
  <si>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</si>
  <si>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</si>
  <si>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</si>
  <si>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</si>
  <si>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</si>
  <si>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</si>
  <si>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</si>
  <si>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</si>
  <si>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</si>
  <si>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</si>
  <si>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</si>
  <si>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</si>
  <si>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</si>
  <si>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</si>
  <si>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</si>
  <si>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</si>
  <si>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</si>
  <si>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</si>
  <si>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</si>
  <si>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</si>
  <si>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</si>
  <si>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</si>
  <si>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</si>
  <si>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</si>
  <si>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</si>
  <si>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</si>
  <si>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</si>
  <si>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</si>
  <si>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</si>
  <si>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</si>
  <si>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</si>
  <si>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</si>
  <si>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</si>
  <si>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</si>
  <si>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</si>
  <si>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</si>
  <si>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</si>
  <si>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</si>
  <si>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</si>
  <si>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</si>
  <si>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</si>
  <si>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</si>
  <si>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</si>
  <si>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</si>
  <si>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</si>
  <si>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</si>
  <si>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</si>
  <si>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</si>
  <si>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</si>
  <si>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</si>
  <si>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</si>
  <si>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</si>
  <si>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</si>
  <si>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</si>
  <si>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</si>
  <si>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</si>
  <si>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</si>
  <si>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</si>
  <si>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</si>
  <si>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</si>
  <si>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</si>
  <si>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</si>
  <si>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</si>
  <si>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</si>
  <si>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</si>
  <si>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</si>
  <si>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</si>
  <si>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</si>
  <si>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</si>
  <si>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</si>
  <si>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</si>
  <si>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</si>
  <si>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</si>
  <si>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</si>
  <si>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</si>
  <si>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</si>
  <si>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</si>
  <si>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</si>
  <si>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</si>
  <si>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</si>
  <si>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</si>
  <si>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</si>
  <si>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</si>
  <si>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</si>
  <si>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</si>
  <si>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</si>
  <si>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</si>
  <si>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</si>
  <si>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</si>
  <si>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</si>
  <si>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</si>
  <si>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</si>
  <si>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</si>
  <si>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</si>
  <si>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</si>
  <si>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</si>
  <si>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</si>
  <si>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</si>
  <si>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</si>
  <si>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</si>
  <si>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</si>
  <si>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</si>
  <si>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</si>
  <si>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</si>
  <si>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</si>
  <si>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</si>
  <si>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</si>
  <si>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</si>
  <si>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</si>
  <si>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</si>
  <si>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</si>
  <si>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</si>
  <si>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</si>
  <si>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</si>
  <si>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</si>
  <si>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</si>
  <si>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</si>
  <si>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</si>
  <si>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</si>
  <si>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</si>
  <si>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</si>
  <si>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</si>
  <si>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</si>
  <si>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</si>
  <si>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</si>
  <si>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</si>
  <si>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</si>
  <si>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</si>
  <si>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</si>
  <si>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</si>
  <si>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</si>
  <si>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</si>
  <si>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</si>
  <si>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</si>
  <si>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</si>
  <si>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</si>
  <si>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</si>
  <si>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</si>
  <si>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</si>
  <si>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</si>
  <si>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</si>
  <si>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</si>
  <si>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</si>
  <si>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</si>
  <si>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</si>
  <si>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</si>
  <si>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</si>
  <si>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</si>
  <si>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</si>
  <si>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</si>
  <si>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</si>
  <si>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</si>
  <si>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</si>
  <si>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</si>
  <si>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</si>
  <si>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</si>
  <si>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</si>
  <si>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</si>
  <si>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</si>
  <si>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</si>
  <si>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</si>
  <si>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</si>
  <si>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</si>
  <si>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</si>
  <si>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</si>
  <si>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</si>
  <si>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</si>
  <si>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</si>
  <si>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</si>
  <si>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</si>
  <si>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</si>
  <si>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</si>
  <si>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</si>
  <si>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</si>
  <si>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</si>
  <si>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</si>
  <si>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</si>
  <si>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</si>
  <si>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</si>
  <si>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</si>
  <si>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</si>
  <si>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</si>
  <si>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</si>
  <si>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</si>
  <si>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</si>
  <si>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</si>
  <si>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</si>
  <si>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</si>
  <si>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</si>
  <si>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</si>
  <si>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</si>
  <si>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</si>
  <si>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</si>
  <si>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</si>
  <si>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</si>
  <si>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</si>
  <si>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</si>
  <si>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</si>
  <si>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</si>
  <si>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</si>
  <si>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</si>
  <si>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</si>
  <si>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</si>
  <si>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</si>
  <si>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</si>
  <si>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</si>
  <si>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</si>
  <si>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</si>
  <si>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</si>
  <si>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</si>
  <si>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</si>
  <si>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</si>
  <si>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</si>
  <si>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</si>
  <si>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</si>
  <si>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</si>
  <si>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</si>
  <si>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</si>
  <si>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</si>
  <si>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</si>
  <si>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</si>
  <si>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</si>
  <si>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</si>
  <si>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</si>
  <si>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</si>
  <si>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</si>
  <si>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</si>
  <si>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</si>
  <si>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</si>
  <si>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</si>
  <si>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</si>
  <si>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</si>
  <si>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</si>
  <si>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</si>
  <si>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</si>
  <si>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</si>
  <si>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</si>
  <si>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</si>
  <si>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</si>
  <si>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</si>
  <si>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</si>
  <si>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</si>
  <si>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</si>
  <si>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</si>
  <si>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</si>
  <si>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</si>
  <si>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</si>
  <si>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</si>
  <si>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</si>
  <si>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</si>
  <si>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</si>
  <si>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</si>
  <si>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</si>
  <si>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</si>
  <si>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</si>
  <si>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</si>
  <si>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</si>
  <si>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</si>
  <si>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</si>
  <si>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</si>
  <si>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</si>
  <si>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</si>
  <si>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</si>
  <si>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</si>
  <si>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</si>
  <si>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</si>
  <si>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</si>
  <si>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</si>
  <si>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</si>
  <si>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</si>
  <si>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</si>
  <si>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</si>
  <si>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</si>
  <si>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</si>
  <si>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</si>
  <si>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</si>
  <si>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</si>
  <si>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</si>
  <si>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</si>
  <si>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</si>
  <si>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</si>
  <si>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</si>
  <si>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</si>
  <si>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</si>
  <si>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</si>
  <si>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</si>
  <si>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</si>
  <si>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</si>
  <si>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</si>
  <si>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</si>
  <si>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</si>
  <si>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</si>
  <si>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</si>
  <si>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</si>
  <si>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</si>
  <si>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</si>
  <si>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</si>
  <si>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</si>
  <si>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</si>
  <si>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</si>
  <si>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</si>
  <si>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</si>
  <si>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</si>
  <si>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</si>
  <si>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</si>
  <si>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</si>
  <si>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</si>
  <si>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</si>
  <si>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</si>
  <si>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</si>
  <si>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</si>
  <si>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</si>
  <si>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</si>
  <si>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</si>
  <si>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</si>
  <si>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</si>
  <si>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</si>
  <si>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</si>
  <si>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</si>
  <si>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</si>
  <si>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</si>
  <si>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</si>
  <si>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</si>
  <si>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</si>
  <si>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</si>
  <si>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</si>
  <si>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</si>
  <si>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</si>
  <si>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</si>
  <si>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</si>
  <si>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</si>
  <si>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</si>
  <si>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</si>
  <si>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</si>
  <si>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</si>
  <si>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</si>
  <si>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</si>
  <si>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</si>
  <si>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</si>
  <si>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</si>
  <si>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</si>
  <si>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</si>
  <si>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</si>
  <si>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</si>
  <si>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</si>
  <si>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</si>
  <si>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</si>
  <si>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</si>
  <si>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</si>
  <si>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</si>
  <si>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</si>
  <si>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</si>
  <si>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</si>
  <si>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</si>
  <si>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</si>
  <si>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</si>
  <si>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</si>
  <si>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</si>
  <si>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</si>
  <si>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</si>
  <si>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</si>
  <si>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</si>
  <si>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</si>
  <si>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</si>
  <si>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</si>
  <si>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</si>
  <si>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</si>
  <si>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</si>
  <si>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</si>
  <si>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</si>
  <si>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</si>
  <si>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</si>
  <si>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</si>
  <si>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</si>
  <si>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</si>
  <si>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</si>
  <si>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</si>
  <si>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</si>
  <si>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</si>
  <si>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</si>
  <si>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</si>
  <si>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</si>
  <si>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</si>
  <si>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</si>
  <si>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</si>
  <si>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</si>
  <si>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</si>
  <si>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</si>
  <si>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</si>
  <si>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</si>
  <si>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</si>
  <si>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</si>
  <si>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</si>
  <si>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</si>
  <si>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</si>
  <si>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</si>
  <si>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</si>
  <si>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</si>
  <si>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</si>
  <si>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</si>
  <si>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</si>
  <si>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</si>
  <si>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</si>
  <si>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</si>
  <si>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</si>
  <si>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</si>
  <si>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</si>
  <si>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</si>
  <si>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</si>
  <si>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</si>
  <si>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</si>
  <si>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</si>
  <si>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</si>
  <si>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</si>
  <si>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</si>
  <si>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</si>
  <si>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</si>
  <si>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</si>
  <si>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</si>
  <si>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</si>
  <si>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</si>
  <si>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</si>
  <si>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</si>
  <si>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</si>
  <si>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</si>
  <si>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</si>
  <si>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</si>
  <si>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</si>
  <si>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</si>
  <si>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</si>
  <si>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</si>
  <si>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</si>
  <si>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</si>
  <si>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</si>
  <si>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</si>
  <si>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</si>
  <si>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</si>
  <si>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</si>
  <si>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</si>
  <si>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</si>
  <si>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</si>
  <si>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</si>
  <si>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</si>
  <si>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</si>
  <si>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</si>
  <si>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</si>
  <si>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</si>
  <si>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</si>
  <si>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</si>
  <si>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</si>
  <si>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</si>
  <si>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</si>
  <si>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</si>
  <si>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</si>
  <si>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</si>
  <si>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</si>
  <si>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</si>
  <si>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</si>
  <si>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</si>
  <si>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</si>
  <si>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</si>
  <si>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</si>
  <si>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</si>
  <si>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</si>
  <si>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</si>
  <si>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</si>
  <si>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</si>
  <si>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</si>
  <si>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</si>
  <si>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</si>
  <si>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</si>
  <si>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</si>
  <si>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</si>
  <si>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</si>
  <si>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</si>
  <si>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</si>
  <si>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</si>
  <si>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</si>
  <si>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</si>
  <si>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</si>
  <si>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</si>
  <si>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</si>
  <si>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</si>
  <si>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</si>
  <si>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</si>
  <si>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</si>
  <si>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</si>
  <si>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</si>
  <si>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</si>
  <si>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</si>
  <si>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</si>
  <si>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</si>
  <si>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</si>
  <si>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</si>
  <si>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</si>
  <si>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</si>
  <si>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</si>
  <si>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</si>
  <si>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</si>
  <si>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</si>
  <si>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</si>
  <si>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</si>
  <si>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</si>
  <si>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</si>
  <si>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</si>
  <si>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</si>
  <si>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</si>
  <si>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</si>
  <si>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</si>
  <si>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</si>
  <si>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</si>
  <si>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</si>
  <si>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</si>
  <si>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</si>
  <si>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</si>
  <si>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</si>
  <si>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</si>
  <si>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</si>
  <si>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</si>
  <si>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</si>
  <si>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</si>
  <si>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</si>
  <si>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</si>
  <si>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</si>
  <si>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</si>
  <si>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</si>
  <si>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</si>
  <si>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</si>
  <si>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</si>
  <si>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</si>
  <si>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</si>
  <si>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</si>
  <si>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</si>
  <si>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</si>
  <si>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</si>
  <si>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</si>
  <si>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</si>
  <si>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</si>
  <si>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</si>
  <si>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</si>
  <si>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</si>
  <si>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</si>
  <si>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</si>
  <si>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</si>
  <si>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</si>
  <si>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</si>
  <si>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</si>
  <si>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</si>
  <si>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</si>
  <si>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</si>
  <si>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</si>
  <si>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</si>
  <si>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</si>
  <si>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</si>
  <si>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</si>
  <si>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</si>
  <si>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</si>
  <si>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</si>
  <si>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</si>
  <si>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</si>
  <si>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</si>
  <si>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</si>
  <si>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</si>
  <si>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</si>
  <si>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</si>
  <si>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</si>
  <si>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</si>
  <si>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</si>
  <si>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</si>
  <si>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</si>
  <si>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</si>
  <si>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</si>
  <si>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</si>
  <si>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</si>
  <si>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</si>
  <si>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</si>
  <si>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</si>
  <si>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</si>
  <si>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</si>
  <si>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</si>
  <si>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</si>
  <si>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</si>
  <si>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</si>
  <si>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</si>
  <si>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</si>
  <si>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</si>
  <si>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</si>
  <si>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</si>
  <si>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</si>
  <si>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</si>
  <si>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</si>
  <si>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</si>
  <si>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</si>
  <si>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</si>
  <si>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</si>
  <si>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</si>
  <si>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</si>
  <si>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</si>
  <si>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</si>
  <si>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</si>
  <si>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</si>
  <si>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</si>
  <si>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</si>
  <si>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</si>
  <si>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</si>
  <si>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</si>
  <si>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</si>
  <si>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</si>
  <si>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</si>
  <si>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</si>
  <si>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</si>
  <si>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</si>
  <si>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</si>
  <si>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</si>
  <si>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</si>
  <si>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</si>
  <si>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</si>
  <si>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</si>
  <si>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</si>
  <si>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</si>
  <si>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</si>
  <si>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</si>
  <si>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</si>
  <si>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</si>
  <si>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</si>
  <si>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</si>
  <si>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</si>
  <si>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</si>
  <si>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</si>
  <si>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</si>
  <si>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</si>
  <si>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</si>
  <si>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</si>
  <si>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</si>
  <si>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</si>
  <si>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</si>
  <si>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</si>
  <si>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</si>
  <si>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</si>
  <si>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</si>
  <si>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</si>
  <si>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</si>
  <si>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</si>
  <si>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</si>
  <si>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</si>
  <si>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</si>
  <si>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</si>
  <si>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</si>
  <si>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</si>
  <si>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</si>
  <si>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</si>
  <si>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</si>
  <si>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</si>
  <si>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</si>
  <si>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</si>
  <si>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</si>
  <si>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</si>
  <si>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</si>
  <si>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</si>
  <si>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</si>
  <si>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</si>
  <si>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</si>
  <si>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</si>
  <si>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</si>
  <si>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</si>
  <si>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</si>
  <si>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</si>
  <si>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</si>
  <si>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</si>
  <si>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</si>
  <si>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</si>
  <si>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</si>
  <si>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</si>
  <si>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</si>
  <si>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</si>
  <si>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</si>
  <si>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</si>
  <si>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</si>
  <si>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</si>
  <si>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</si>
  <si>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</si>
  <si>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</si>
  <si>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</si>
  <si>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</si>
  <si>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</si>
  <si>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</si>
  <si>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</si>
  <si>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</si>
  <si>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</si>
  <si>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</si>
  <si>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</si>
  <si>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</si>
  <si>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</si>
  <si>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</si>
  <si>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</si>
  <si>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</si>
  <si>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</si>
  <si>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</si>
  <si>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</si>
  <si>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</si>
  <si>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</si>
  <si>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</si>
  <si>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</si>
  <si>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</si>
  <si>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</si>
  <si>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</si>
  <si>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</si>
  <si>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</si>
  <si>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</si>
  <si>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</si>
  <si>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</si>
  <si>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</si>
  <si>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</si>
  <si>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</si>
  <si>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</si>
  <si>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</si>
  <si>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</si>
  <si>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</si>
  <si>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</si>
  <si>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</si>
  <si>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</si>
  <si>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</si>
  <si>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</si>
  <si>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</si>
  <si>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</si>
  <si>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</si>
  <si>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</si>
  <si>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</si>
  <si>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</si>
  <si>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</si>
  <si>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</si>
  <si>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</si>
  <si>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</si>
  <si>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</si>
  <si>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</si>
  <si>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</si>
  <si>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</si>
  <si>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</si>
  <si>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</si>
  <si>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</si>
  <si>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</si>
  <si>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</si>
  <si>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</si>
  <si>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</si>
  <si>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</si>
  <si>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</si>
  <si>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</si>
  <si>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</si>
  <si>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</si>
  <si>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</si>
  <si>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</si>
  <si>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</si>
  <si>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</si>
  <si>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</si>
  <si>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</si>
  <si>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</si>
  <si>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</si>
  <si>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</si>
  <si>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</si>
  <si>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</si>
  <si>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</si>
  <si>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</si>
  <si>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</si>
  <si>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</si>
  <si>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</si>
  <si>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</si>
  <si>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</si>
  <si>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</si>
  <si>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</si>
  <si>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</si>
  <si>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</si>
  <si>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</si>
  <si>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</si>
  <si>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</si>
  <si>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</si>
  <si>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</si>
  <si>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</si>
  <si>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</si>
  <si>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</si>
  <si>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</si>
  <si>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</si>
  <si>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</si>
  <si>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</si>
  <si>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</si>
  <si>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</si>
  <si>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</si>
  <si>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</si>
  <si>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</si>
  <si>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</si>
  <si>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</si>
  <si>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</si>
  <si>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</si>
  <si>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</si>
  <si>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</si>
  <si>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</si>
  <si>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</si>
  <si>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</si>
  <si>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</si>
  <si>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</si>
  <si>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</si>
  <si>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</si>
  <si>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</si>
  <si>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</si>
  <si>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</si>
  <si>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</si>
  <si>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</si>
  <si>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</si>
  <si>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</si>
  <si>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</si>
  <si>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</si>
  <si>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</si>
  <si>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</si>
  <si>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</si>
  <si>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</si>
  <si>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</si>
  <si>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</si>
  <si>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</si>
  <si>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</si>
  <si>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</si>
  <si>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</si>
  <si>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</si>
  <si>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</si>
  <si>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</si>
  <si>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</si>
  <si>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</si>
  <si>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</si>
  <si>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</si>
  <si>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</si>
  <si>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</si>
  <si>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</si>
  <si>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</si>
  <si>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</si>
  <si>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</si>
  <si>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</si>
  <si>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</si>
  <si>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</si>
  <si>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</si>
  <si>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</si>
  <si>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</si>
  <si>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</si>
  <si>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</si>
  <si>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</si>
  <si>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</si>
  <si>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</si>
  <si>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</si>
  <si>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</si>
  <si>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</si>
  <si>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</si>
  <si>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</si>
  <si>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</si>
  <si>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</si>
  <si>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</si>
  <si>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</si>
  <si>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</si>
  <si>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</si>
  <si>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</si>
  <si>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</si>
  <si>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</si>
  <si>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</si>
  <si>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</si>
  <si>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</si>
  <si>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</si>
  <si>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</si>
  <si>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</si>
  <si>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</si>
  <si>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</si>
  <si>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</si>
  <si>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</si>
  <si>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</si>
  <si>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</si>
  <si>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</si>
  <si>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</si>
  <si>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</si>
  <si>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</si>
  <si>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</si>
  <si>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</si>
  <si>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</si>
  <si>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</si>
  <si>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</si>
  <si>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</si>
  <si>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</si>
  <si>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</si>
  <si>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</si>
  <si>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</si>
  <si>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</si>
  <si>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</si>
  <si>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</si>
  <si>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</si>
  <si>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</si>
  <si>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</si>
  <si>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</si>
  <si>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</si>
  <si>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</si>
  <si>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</si>
  <si>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</si>
  <si>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</si>
  <si>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</si>
  <si>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</si>
  <si>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</si>
  <si>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</si>
  <si>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</si>
  <si>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</si>
  <si>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</si>
  <si>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</si>
  <si>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</si>
  <si>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</si>
  <si>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</si>
  <si>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</si>
  <si>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</si>
  <si>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</si>
  <si>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</si>
  <si>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</si>
  <si>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</si>
  <si>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</si>
  <si>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</si>
  <si>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</si>
  <si>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</si>
  <si>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</si>
  <si>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</si>
  <si>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</si>
  <si>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</si>
  <si>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</si>
  <si>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</si>
  <si>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</si>
  <si>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</si>
  <si>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</si>
  <si>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</si>
  <si>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</si>
  <si>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</si>
  <si>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</si>
  <si>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</si>
  <si>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</si>
  <si>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</si>
  <si>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</si>
  <si>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</si>
  <si>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</si>
  <si>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</si>
  <si>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</si>
  <si>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</si>
  <si>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</si>
  <si>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</si>
  <si>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</si>
  <si>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</si>
  <si>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</si>
  <si>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</si>
  <si>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</si>
  <si>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</si>
  <si>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</si>
  <si>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</si>
  <si>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</si>
  <si>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</si>
  <si>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</si>
  <si>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</si>
  <si>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</si>
  <si>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</si>
  <si>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</si>
  <si>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</si>
  <si>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</si>
  <si>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</si>
  <si>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</si>
  <si>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</si>
  <si>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</si>
  <si>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</si>
  <si>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</si>
  <si>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</si>
  <si>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</si>
  <si>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</si>
  <si>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</si>
  <si>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</si>
  <si>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</si>
  <si>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</si>
  <si>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</si>
  <si>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</si>
  <si>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</si>
  <si>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</si>
  <si>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</si>
  <si>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</si>
  <si>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</si>
  <si>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</si>
  <si>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</si>
  <si>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</si>
  <si>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</si>
  <si>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</si>
  <si>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</si>
  <si>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</si>
  <si>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</si>
  <si>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</si>
  <si>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</si>
  <si>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</si>
  <si>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</si>
  <si>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</si>
  <si>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</si>
  <si>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</si>
  <si>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</si>
  <si>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</si>
  <si>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</si>
  <si>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</si>
  <si>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</si>
  <si>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</si>
  <si>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</si>
  <si>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</si>
  <si>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</si>
  <si>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</si>
  <si>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</si>
  <si>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</si>
  <si>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</si>
  <si>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</si>
  <si>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</si>
  <si>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</si>
  <si>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</si>
  <si>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</si>
  <si>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</si>
  <si>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</si>
  <si>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</si>
  <si>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</si>
  <si>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</si>
  <si>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</si>
  <si>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</si>
  <si>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</si>
  <si>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</si>
  <si>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</si>
  <si>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</si>
  <si>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</si>
  <si>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</si>
  <si>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</si>
  <si>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</si>
  <si>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</si>
  <si>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</si>
  <si>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</si>
  <si>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</si>
  <si>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</si>
  <si>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</si>
  <si>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</si>
  <si>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</si>
  <si>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</si>
  <si>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</si>
  <si>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</si>
  <si>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</si>
  <si>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</si>
  <si>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</si>
  <si>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</si>
  <si>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</si>
  <si>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</si>
  <si>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</si>
  <si>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</si>
  <si>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</si>
  <si>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</si>
  <si>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</si>
  <si>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</si>
  <si>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</si>
  <si>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</si>
  <si>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</si>
  <si>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</si>
  <si>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</si>
  <si>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</si>
  <si>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</si>
  <si>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</si>
  <si>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</si>
  <si>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</si>
  <si>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</si>
  <si>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</si>
  <si>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</si>
  <si>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</si>
  <si>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</si>
  <si>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</si>
  <si>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</si>
  <si>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</si>
  <si>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</si>
  <si>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</si>
  <si>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</si>
  <si>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</si>
  <si>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</si>
  <si>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</si>
  <si>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</si>
  <si>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</si>
  <si>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</si>
  <si>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</si>
  <si>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</si>
  <si>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</si>
  <si>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</si>
  <si>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</si>
  <si>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</si>
  <si>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</si>
  <si>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</si>
  <si>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</si>
  <si>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</si>
  <si>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</si>
  <si>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</si>
  <si>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</si>
  <si>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</si>
  <si>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</si>
  <si>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</si>
  <si>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</si>
  <si>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</si>
  <si>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</si>
  <si>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</si>
  <si>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</si>
  <si>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</si>
  <si>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</si>
  <si>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</si>
  <si>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</si>
  <si>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</si>
  <si>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</si>
  <si>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</si>
  <si>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</si>
  <si>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</si>
  <si>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</si>
  <si>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</si>
  <si>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</si>
  <si>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</si>
  <si>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</si>
  <si>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</si>
  <si>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</si>
  <si>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</si>
  <si>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</si>
  <si>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</si>
  <si>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</si>
  <si>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</si>
  <si>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</si>
  <si>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</si>
  <si>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</si>
  <si>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</si>
  <si>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</si>
  <si>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</si>
  <si>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</si>
  <si>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</si>
  <si>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</si>
  <si>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</si>
  <si>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</si>
  <si>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</si>
  <si>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</si>
  <si>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</si>
  <si>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</si>
  <si>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</si>
  <si>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</si>
  <si>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</si>
  <si>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</si>
  <si>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</si>
  <si>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</si>
  <si>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</si>
  <si>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</si>
  <si>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</si>
  <si>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</si>
  <si>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</si>
  <si>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</si>
  <si>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</si>
  <si>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</si>
  <si>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</si>
  <si>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</si>
  <si>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</si>
  <si>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</si>
  <si>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</si>
  <si>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</si>
  <si>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</si>
  <si>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</si>
  <si>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</si>
  <si>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</si>
  <si>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</si>
  <si>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</si>
  <si>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</si>
  <si>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</si>
  <si>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</si>
  <si>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</si>
  <si>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</si>
  <si>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</si>
  <si>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</si>
  <si>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</si>
  <si>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</si>
  <si>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</si>
  <si>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</si>
  <si>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</si>
  <si>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</si>
  <si>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</si>
  <si>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</si>
  <si>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</si>
  <si>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</si>
  <si>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</si>
  <si>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</si>
  <si>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</si>
  <si>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</si>
  <si>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</si>
  <si>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</si>
  <si>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</si>
  <si>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</si>
  <si>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</si>
  <si>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</si>
  <si>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</si>
  <si>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</si>
  <si>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</si>
  <si>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</si>
  <si>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</si>
  <si>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</si>
  <si>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</si>
  <si>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</si>
  <si>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</si>
  <si>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</si>
  <si>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</si>
  <si>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</si>
  <si>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</si>
  <si>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</si>
  <si>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</si>
  <si>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</si>
  <si>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</si>
  <si>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</si>
  <si>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</si>
  <si>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</si>
  <si>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</si>
  <si>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</si>
  <si>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</si>
  <si>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</si>
  <si>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</si>
  <si>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</si>
  <si>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</si>
  <si>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</si>
  <si>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</si>
  <si>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</si>
  <si>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</si>
  <si>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</si>
  <si>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</si>
  <si>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</si>
  <si>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</si>
  <si>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</si>
  <si>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</si>
  <si>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</si>
  <si>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</si>
  <si>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</si>
  <si>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</si>
  <si>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</si>
  <si>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</si>
  <si>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</si>
  <si>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</si>
  <si>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</si>
  <si>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</si>
  <si>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</si>
  <si>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</si>
  <si>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</si>
  <si>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</si>
  <si>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</si>
  <si>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</si>
  <si>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</si>
  <si>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</si>
  <si>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</si>
  <si>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</si>
  <si>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</si>
  <si>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</si>
  <si>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</si>
  <si>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</si>
  <si>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</si>
  <si>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</si>
  <si>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</si>
  <si>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</si>
  <si>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</si>
  <si>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</si>
  <si>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</si>
  <si>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</si>
  <si>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</si>
  <si>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</si>
  <si>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</si>
  <si>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</si>
  <si>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</si>
  <si>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</si>
  <si>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</si>
  <si>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</si>
  <si>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</si>
  <si>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</si>
  <si>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</si>
  <si>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</si>
  <si>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</si>
  <si>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</si>
  <si>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</si>
  <si>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</si>
  <si>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</si>
  <si>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</si>
  <si>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</si>
  <si>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</si>
  <si>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</si>
  <si>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</si>
  <si>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</si>
  <si>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</si>
  <si>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</si>
  <si>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</si>
  <si>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</si>
  <si>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</si>
  <si>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</si>
  <si>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</si>
  <si>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</si>
  <si>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</si>
  <si>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</si>
  <si>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</si>
  <si>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</si>
  <si>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</si>
  <si>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</si>
  <si>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</si>
  <si>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</si>
  <si>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</si>
  <si>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</si>
  <si>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</si>
  <si>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</si>
  <si>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</si>
  <si>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</si>
  <si>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</si>
  <si>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</si>
  <si>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</si>
  <si>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</si>
  <si>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</si>
  <si>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</si>
  <si>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</si>
  <si>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</si>
  <si>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</si>
  <si>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</si>
  <si>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</si>
  <si>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</si>
  <si>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</si>
  <si>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</si>
  <si>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</si>
  <si>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</si>
  <si>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</si>
  <si>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</si>
  <si>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</si>
  <si>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</si>
  <si>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</si>
  <si>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</si>
  <si>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</si>
  <si>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</si>
  <si>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</si>
  <si>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</si>
  <si>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</si>
  <si>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</si>
  <si>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</si>
  <si>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</si>
  <si>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</si>
  <si>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</si>
  <si>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</si>
  <si>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</si>
  <si>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</si>
  <si>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</si>
  <si>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</si>
  <si>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</si>
  <si>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</si>
  <si>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</si>
  <si>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</si>
  <si>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</si>
  <si>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</si>
  <si>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</si>
  <si>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</si>
  <si>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</si>
  <si>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</si>
  <si>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</si>
  <si>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</si>
  <si>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</si>
  <si>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</si>
  <si>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</si>
  <si>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</si>
  <si>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</si>
  <si>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</si>
  <si>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</si>
  <si>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</si>
  <si>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</si>
  <si>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</si>
  <si>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</si>
  <si>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</si>
  <si>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</si>
  <si>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</si>
  <si>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</si>
  <si>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</si>
  <si>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</si>
  <si>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</si>
  <si>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</si>
  <si>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</si>
  <si>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</si>
  <si>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</si>
  <si>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</si>
  <si>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</si>
  <si>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</si>
  <si>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</si>
  <si>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</si>
  <si>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</si>
  <si>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</si>
  <si>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</si>
  <si>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</si>
  <si>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</si>
  <si>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</si>
  <si>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</si>
  <si>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</si>
  <si>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</si>
  <si>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</si>
  <si>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</si>
  <si>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</si>
  <si>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</si>
  <si>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</si>
  <si>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</si>
  <si>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</si>
  <si>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</si>
  <si>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</si>
  <si>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</si>
  <si>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</si>
  <si>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</si>
  <si>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</si>
  <si>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</si>
  <si>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</si>
  <si>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</si>
  <si>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</si>
  <si>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</si>
  <si>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</si>
  <si>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</si>
  <si>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</si>
  <si>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</si>
  <si>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</si>
  <si>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</si>
  <si>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</si>
  <si>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</si>
  <si>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</si>
  <si>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</si>
  <si>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</si>
  <si>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</si>
  <si>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</si>
  <si>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</si>
  <si>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</si>
  <si>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</si>
  <si>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</si>
  <si>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</si>
  <si>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</si>
  <si>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</si>
  <si>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</si>
  <si>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</si>
  <si>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</si>
  <si>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</si>
  <si>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</si>
  <si>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</si>
  <si>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</si>
  <si>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</si>
  <si>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</si>
  <si>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</si>
  <si>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</si>
  <si>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</si>
  <si>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</si>
  <si>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</si>
  <si>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</si>
  <si>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</si>
  <si>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</si>
  <si>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</si>
  <si>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</si>
  <si>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</si>
  <si>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</si>
  <si>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</si>
  <si>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</si>
  <si>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</si>
  <si>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</si>
  <si>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</si>
  <si>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</si>
  <si>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</si>
  <si>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</si>
  <si>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</si>
  <si>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</si>
  <si>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</si>
  <si>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</si>
  <si>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</si>
  <si>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</si>
  <si>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</si>
  <si>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</si>
  <si>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</si>
  <si>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</si>
  <si>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</si>
  <si>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</si>
  <si>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</si>
  <si>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</si>
  <si>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</si>
  <si>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</si>
  <si>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</si>
  <si>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</si>
  <si>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</si>
  <si>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</si>
  <si>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</si>
  <si>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</si>
  <si>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</si>
  <si>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</si>
  <si>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</si>
  <si>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</si>
  <si>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</si>
  <si>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</si>
  <si>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</si>
  <si>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</si>
  <si>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</si>
  <si>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</si>
  <si>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</si>
  <si>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</si>
  <si>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</si>
  <si>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</si>
  <si>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</si>
  <si>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</si>
  <si>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</si>
  <si>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</si>
  <si>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</si>
  <si>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</si>
  <si>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</si>
  <si>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</si>
  <si>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</si>
  <si>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</si>
  <si>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</si>
  <si>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</si>
  <si>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</si>
  <si>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</si>
  <si>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</si>
  <si>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</si>
  <si>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</si>
  <si>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</si>
  <si>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</si>
  <si>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</si>
  <si>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</si>
  <si>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</si>
  <si>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</si>
  <si>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</si>
  <si>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</si>
  <si>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</si>
  <si>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</si>
  <si>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</si>
  <si>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</si>
  <si>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</si>
  <si>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</si>
  <si>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</si>
  <si>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</si>
  <si>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</si>
  <si>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</si>
  <si>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</si>
  <si>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</si>
  <si>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</si>
  <si>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</si>
  <si>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</si>
  <si>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</si>
  <si>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</si>
  <si>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</si>
  <si>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</si>
  <si>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</si>
  <si>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</si>
  <si>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</si>
  <si>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</si>
  <si>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</si>
  <si>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</si>
  <si>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</si>
  <si>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</si>
  <si>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</si>
  <si>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</si>
  <si>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</si>
  <si>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</si>
  <si>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</si>
  <si>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</si>
  <si>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</si>
  <si>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</si>
  <si>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</si>
  <si>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</si>
  <si>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</si>
  <si>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</si>
  <si>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</si>
  <si>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</si>
  <si>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</si>
  <si>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</si>
  <si>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</si>
  <si>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</si>
  <si>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</si>
  <si>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</si>
  <si>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</si>
  <si>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</si>
  <si>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</si>
  <si>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</si>
  <si>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</si>
  <si>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</si>
  <si>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</si>
  <si>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</si>
  <si>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</si>
  <si>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</si>
  <si>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</si>
  <si>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</si>
  <si>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</si>
  <si>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</si>
  <si>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</si>
  <si>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</si>
  <si>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</si>
  <si>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</si>
  <si>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</si>
  <si>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</si>
  <si>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</si>
  <si>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</si>
  <si>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</si>
  <si>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</si>
  <si>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</si>
  <si>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</si>
  <si>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</si>
  <si>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</si>
  <si>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</si>
  <si>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</si>
  <si>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</si>
  <si>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</si>
  <si>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</si>
  <si>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</si>
  <si>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</si>
  <si>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</si>
  <si>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</si>
  <si>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</si>
  <si>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</si>
  <si>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</si>
  <si>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</si>
  <si>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</si>
  <si>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</si>
  <si>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</si>
  <si>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</si>
  <si>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</si>
  <si>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</si>
  <si>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</si>
  <si>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</si>
  <si>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</si>
  <si>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</si>
  <si>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</si>
  <si>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</si>
  <si>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</si>
  <si>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</si>
  <si>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</si>
  <si>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</si>
  <si>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</si>
  <si>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</si>
  <si>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</si>
  <si>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</si>
  <si>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</si>
  <si>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</si>
  <si>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</si>
  <si>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</si>
  <si>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</si>
  <si>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</si>
  <si>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</si>
  <si>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</si>
  <si>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</si>
  <si>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</si>
  <si>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</si>
  <si>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</si>
  <si>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</si>
  <si>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</si>
  <si>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</si>
  <si>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</si>
  <si>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</si>
  <si>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</si>
  <si>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</si>
  <si>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</si>
  <si>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</si>
  <si>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</si>
  <si>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</si>
  <si>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</si>
  <si>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</si>
  <si>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</si>
  <si>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</si>
  <si>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</si>
  <si>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</si>
  <si>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</si>
  <si>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</si>
  <si>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</si>
  <si>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</si>
  <si>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</si>
  <si>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</si>
  <si>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</si>
  <si>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</si>
  <si>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</si>
  <si>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</si>
  <si>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</si>
  <si>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</si>
  <si>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</si>
  <si>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</si>
  <si>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</si>
  <si>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</si>
  <si>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</si>
  <si>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</si>
  <si>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</si>
  <si>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</si>
  <si>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</si>
  <si>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</si>
  <si>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</si>
  <si>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</si>
  <si>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</si>
  <si>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</si>
  <si>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</si>
  <si>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</si>
  <si>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</si>
  <si>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</si>
  <si>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</si>
  <si>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</si>
  <si>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</si>
  <si>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</si>
  <si>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</si>
  <si>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</si>
  <si>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</si>
  <si>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</si>
  <si>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</si>
  <si>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</si>
  <si>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</si>
  <si>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</si>
  <si>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</si>
  <si>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</si>
  <si>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</si>
  <si>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</si>
  <si>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</si>
  <si>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</si>
  <si>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</si>
  <si>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</si>
  <si>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</si>
  <si>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</si>
  <si>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</si>
  <si>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</si>
  <si>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</si>
  <si>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</si>
  <si>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</si>
  <si>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</si>
  <si>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</si>
  <si>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</si>
  <si>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</si>
  <si>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</si>
  <si>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</si>
  <si>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</si>
  <si>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</si>
  <si>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</si>
  <si>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</si>
  <si>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</si>
  <si>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</si>
  <si>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</si>
  <si>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</si>
  <si>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</si>
  <si>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</si>
  <si>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</si>
  <si>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</si>
  <si>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</si>
  <si>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</si>
  <si>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</si>
  <si>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</si>
  <si>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</si>
  <si>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</si>
  <si>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</si>
  <si>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</si>
  <si>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</si>
  <si>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</si>
  <si>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</si>
  <si>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</si>
  <si>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</si>
  <si>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</si>
  <si>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</si>
  <si>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</si>
  <si>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</si>
  <si>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</si>
  <si>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</si>
  <si>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</si>
  <si>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</si>
  <si>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</si>
  <si>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</si>
  <si>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</si>
  <si>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</si>
  <si>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</si>
  <si>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</si>
  <si>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</si>
  <si>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</si>
  <si>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</si>
  <si>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</si>
  <si>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</si>
  <si>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</si>
  <si>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</si>
  <si>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</si>
  <si>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</si>
  <si>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</si>
  <si>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</si>
  <si>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</si>
  <si>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</si>
  <si>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</si>
  <si>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</si>
  <si>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</si>
  <si>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</si>
  <si>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</si>
  <si>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</si>
  <si>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</si>
  <si>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</si>
  <si>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</si>
  <si>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</si>
  <si>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</si>
  <si>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</si>
  <si>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</si>
  <si>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</si>
  <si>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</si>
  <si>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</si>
  <si>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</si>
  <si>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</si>
  <si>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</si>
  <si>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</si>
  <si>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</si>
  <si>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</si>
  <si>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</si>
  <si>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</si>
  <si>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</si>
  <si>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</si>
  <si>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</si>
  <si>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</si>
  <si>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</si>
  <si>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</si>
  <si>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</si>
  <si>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</si>
  <si>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</si>
  <si>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</si>
  <si>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</si>
  <si>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</si>
  <si>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</si>
  <si>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</si>
  <si>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</si>
  <si>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</si>
  <si>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</si>
  <si>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</si>
  <si>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</si>
  <si>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</si>
  <si>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</si>
  <si>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</si>
  <si>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</si>
  <si>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</si>
  <si>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</si>
  <si>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</si>
  <si>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</si>
  <si>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</si>
  <si>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</si>
  <si>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</si>
  <si>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</si>
  <si>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</si>
  <si>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</si>
  <si>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</si>
  <si>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</si>
  <si>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</si>
  <si>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</si>
  <si>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</si>
  <si>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</si>
  <si>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</si>
  <si>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</si>
  <si>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</si>
  <si>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</si>
  <si>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</si>
  <si>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</si>
  <si>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</si>
  <si>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</si>
  <si>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</si>
  <si>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</si>
  <si>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</si>
  <si>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</si>
  <si>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</si>
  <si>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</si>
  <si>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</si>
  <si>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</si>
  <si>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</si>
  <si>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</si>
  <si>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</si>
  <si>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</si>
  <si>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</si>
  <si>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</si>
  <si>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</si>
  <si>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</si>
  <si>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</si>
  <si>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</si>
  <si>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</si>
  <si>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</si>
  <si>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</si>
  <si>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</si>
  <si>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</si>
  <si>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</si>
  <si>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</si>
  <si>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</si>
  <si>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</si>
  <si>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</si>
  <si>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</si>
  <si>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</si>
  <si>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</si>
  <si>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</si>
  <si>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</si>
  <si>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</si>
  <si>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</si>
  <si>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</si>
  <si>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</si>
  <si>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</si>
  <si>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</si>
  <si>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</si>
  <si>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</si>
  <si>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</si>
  <si>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</si>
  <si>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</si>
  <si>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</si>
  <si>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</si>
  <si>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</si>
  <si>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</si>
  <si>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</si>
  <si>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</si>
  <si>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</si>
  <si>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</si>
  <si>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</si>
  <si>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</si>
  <si>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</si>
  <si>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</si>
  <si>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</si>
  <si>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</si>
  <si>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</si>
  <si>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</si>
  <si>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</si>
  <si>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</si>
  <si>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</si>
  <si>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</si>
  <si>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</si>
  <si>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</si>
  <si>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</si>
  <si>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</si>
  <si>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</si>
  <si>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</si>
  <si>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</si>
  <si>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</si>
  <si>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</si>
  <si>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</si>
  <si>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</si>
  <si>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</si>
  <si>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</si>
  <si>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</si>
  <si>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</si>
  <si>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</si>
  <si>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</si>
  <si>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</si>
  <si>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</si>
  <si>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</si>
  <si>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</si>
  <si>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</si>
  <si>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</si>
  <si>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</si>
  <si>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</si>
  <si>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</si>
  <si>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</si>
  <si>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</si>
  <si>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</si>
  <si>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</si>
  <si>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</si>
  <si>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</si>
  <si>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</si>
  <si>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</si>
  <si>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</si>
  <si>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</si>
  <si>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</si>
  <si>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</si>
  <si>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</si>
  <si>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</si>
  <si>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</si>
  <si>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</si>
  <si>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</si>
  <si>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</si>
  <si>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</si>
  <si>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</si>
  <si>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</si>
  <si>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</si>
  <si>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</si>
  <si>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</si>
  <si>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</si>
  <si>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</si>
  <si>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</si>
  <si>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</si>
  <si>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</si>
  <si>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</si>
  <si>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</si>
  <si>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</si>
  <si>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</si>
  <si>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</si>
  <si>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</si>
  <si>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</si>
  <si>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</si>
  <si>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</si>
  <si>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</si>
  <si>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</si>
  <si>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</si>
  <si>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</si>
  <si>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</si>
  <si>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</si>
  <si>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</si>
  <si>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</si>
  <si>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</si>
  <si>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</si>
  <si>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</si>
  <si>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</si>
  <si>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</si>
  <si>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</si>
  <si>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</si>
  <si>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</si>
  <si>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</si>
  <si>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</si>
  <si>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</si>
  <si>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</si>
  <si>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</si>
  <si>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</si>
  <si>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</si>
  <si>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</si>
  <si>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</si>
  <si>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</si>
  <si>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</si>
  <si>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</si>
  <si>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</si>
  <si>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</si>
  <si>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</si>
  <si>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</si>
  <si>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</si>
  <si>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</si>
  <si>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</si>
  <si>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</si>
  <si>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</si>
  <si>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</si>
  <si>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</si>
  <si>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</si>
  <si>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</si>
  <si>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</si>
  <si>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</si>
  <si>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</si>
  <si>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</si>
  <si>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</si>
  <si>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</si>
  <si>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</si>
  <si>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</si>
  <si>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</si>
  <si>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</si>
  <si>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</si>
  <si>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</si>
  <si>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</si>
  <si>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</si>
  <si>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</si>
  <si>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</si>
  <si>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</si>
  <si>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</si>
  <si>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</si>
  <si>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</si>
  <si>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</si>
  <si>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</si>
  <si>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</si>
  <si>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</si>
  <si>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</si>
  <si>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</si>
  <si>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</si>
  <si>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</si>
  <si>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</si>
  <si>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</si>
  <si>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</si>
  <si>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</si>
  <si>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</si>
  <si>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</si>
  <si>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</si>
  <si>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</si>
  <si>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</si>
  <si>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</si>
  <si>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</si>
  <si>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</si>
  <si>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</si>
  <si>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</si>
  <si>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</si>
  <si>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</si>
  <si>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</si>
  <si>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</si>
  <si>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</si>
  <si>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</si>
  <si>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</si>
  <si>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</si>
  <si>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</si>
  <si>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</si>
  <si>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</si>
  <si>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</si>
  <si>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</si>
  <si>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</si>
  <si>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</si>
  <si>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</si>
  <si>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</si>
  <si>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</si>
  <si>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</si>
  <si>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</si>
  <si>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</si>
  <si>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</si>
  <si>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</si>
  <si>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</si>
  <si>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</si>
  <si>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</si>
  <si>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</si>
  <si>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</si>
  <si>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</si>
  <si>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</si>
  <si>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</si>
  <si>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</si>
  <si>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</si>
  <si>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</si>
  <si>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</si>
  <si>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</si>
  <si>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</si>
  <si>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</si>
  <si>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</si>
  <si>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</si>
  <si>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</si>
  <si>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</si>
  <si>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</si>
  <si>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</si>
  <si>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</si>
  <si>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</si>
  <si>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</si>
  <si>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</si>
  <si>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</si>
  <si>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</si>
  <si>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</si>
  <si>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</si>
  <si>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</si>
  <si>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</si>
  <si>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</si>
  <si>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</si>
  <si>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</si>
  <si>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</si>
  <si>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</si>
  <si>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</si>
  <si>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</si>
  <si>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</si>
  <si>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</si>
  <si>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</si>
  <si>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</si>
  <si>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</si>
  <si>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</si>
  <si>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</si>
  <si>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</si>
  <si>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</si>
  <si>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</si>
  <si>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</si>
  <si>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</si>
  <si>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</si>
  <si>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</si>
  <si>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</si>
  <si>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</si>
  <si>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</si>
  <si>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</si>
  <si>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</si>
  <si>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</si>
  <si>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</si>
  <si>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</si>
  <si>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</si>
  <si>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</si>
  <si>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</si>
  <si>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</si>
  <si>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</si>
  <si>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</si>
  <si>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</si>
  <si>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</si>
  <si>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</si>
  <si>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</si>
  <si>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</si>
  <si>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</si>
  <si>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</si>
  <si>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</si>
  <si>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</si>
  <si>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</si>
  <si>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</si>
  <si>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</si>
  <si>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</si>
  <si>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</si>
  <si>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</si>
  <si>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</si>
  <si>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</si>
  <si>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</si>
  <si>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</si>
  <si>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</si>
  <si>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</si>
  <si>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</si>
  <si>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</si>
  <si>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</si>
  <si>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</si>
  <si>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</si>
  <si>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</si>
  <si>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</si>
  <si>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</si>
  <si>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</si>
  <si>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</si>
  <si>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</si>
  <si>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</si>
  <si>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</si>
  <si>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</si>
  <si>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</si>
  <si>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</si>
  <si>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</si>
  <si>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</si>
  <si>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</si>
  <si>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</si>
  <si>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</si>
  <si>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</si>
  <si>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</si>
  <si>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</si>
  <si>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</si>
  <si>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</si>
  <si>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</si>
  <si>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</si>
  <si>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</si>
  <si>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</si>
  <si>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</si>
  <si>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</si>
  <si>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</si>
  <si>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</si>
  <si>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</si>
  <si>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</si>
  <si>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</si>
  <si>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</si>
  <si>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</si>
  <si>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</si>
  <si>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</si>
  <si>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</si>
  <si>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</si>
  <si>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</si>
  <si>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</si>
  <si>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</si>
  <si>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</si>
  <si>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</si>
  <si>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</si>
  <si>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</si>
  <si>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</si>
  <si>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</si>
  <si>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</si>
  <si>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</si>
  <si>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</si>
  <si>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</si>
  <si>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</si>
  <si>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</si>
  <si>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</si>
  <si>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</si>
  <si>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</si>
  <si>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</si>
  <si>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</si>
  <si>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</si>
  <si>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</si>
  <si>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</si>
  <si>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</si>
  <si>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</si>
  <si>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</si>
  <si>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</si>
  <si>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</si>
  <si>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</si>
  <si>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</si>
  <si>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</si>
  <si>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</si>
  <si>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</si>
  <si>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</si>
  <si>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</si>
  <si>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</si>
  <si>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</si>
  <si>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</si>
  <si>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</si>
  <si>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</si>
  <si>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</si>
  <si>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</si>
  <si>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</si>
  <si>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</si>
  <si>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</si>
  <si>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</si>
  <si>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</si>
  <si>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</si>
  <si>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</si>
  <si>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</si>
  <si>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</si>
  <si>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</si>
  <si>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</si>
  <si>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</si>
  <si>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</si>
  <si>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</si>
  <si>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</si>
  <si>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</si>
  <si>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</si>
  <si>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</si>
  <si>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</si>
  <si>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</si>
  <si>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</si>
  <si>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</si>
  <si>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</si>
  <si>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</si>
  <si>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</si>
  <si>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</si>
  <si>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</si>
  <si>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</si>
  <si>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</si>
  <si>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</si>
  <si>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</si>
  <si>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</si>
  <si>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</si>
  <si>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</si>
  <si>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</si>
  <si>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</si>
  <si>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</si>
  <si>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</si>
  <si>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</si>
  <si>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</si>
  <si>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</si>
  <si>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</si>
  <si>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</si>
  <si>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</si>
  <si>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</si>
  <si>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</si>
  <si>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</si>
  <si>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</si>
  <si>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</si>
  <si>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</si>
  <si>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</si>
  <si>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</si>
  <si>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</si>
  <si>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</si>
  <si>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</si>
  <si>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</si>
  <si>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</si>
  <si>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</si>
  <si>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</si>
  <si>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</si>
  <si>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</si>
  <si>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</si>
  <si>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</si>
  <si>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</si>
  <si>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</si>
  <si>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</si>
  <si>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</si>
  <si>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</si>
  <si>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</si>
  <si>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</si>
  <si>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</si>
  <si>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</si>
  <si>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</si>
  <si>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</si>
  <si>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</si>
  <si>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</si>
  <si>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</si>
  <si>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</si>
  <si>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</si>
  <si>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</si>
  <si>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</si>
  <si>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</si>
  <si>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</si>
  <si>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</si>
  <si>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</si>
  <si>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</si>
  <si>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</si>
  <si>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</si>
  <si>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</si>
  <si>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</si>
  <si>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</si>
  <si>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</si>
  <si>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</si>
  <si>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</si>
  <si>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</si>
  <si>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</si>
  <si>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</si>
  <si>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</si>
  <si>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</si>
  <si>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</si>
  <si>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</si>
  <si>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</si>
  <si>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</si>
  <si>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</si>
  <si>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</si>
  <si>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</si>
  <si>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</si>
  <si>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</si>
  <si>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</si>
  <si>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</si>
  <si>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</si>
  <si>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</si>
  <si>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</si>
  <si>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</si>
  <si>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</si>
  <si>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</si>
  <si>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</si>
  <si>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</si>
  <si>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</si>
  <si>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</si>
  <si>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</si>
  <si>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</si>
  <si>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</si>
  <si>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</si>
  <si>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</si>
  <si>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</si>
  <si>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</si>
  <si>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</si>
  <si>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</si>
  <si>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</si>
  <si>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</si>
  <si>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</si>
  <si>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</si>
  <si>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</si>
  <si>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</si>
  <si>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</si>
  <si>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</si>
  <si>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</si>
  <si>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</si>
  <si>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</si>
  <si>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</si>
  <si>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</si>
  <si>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</si>
  <si>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</si>
  <si>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</si>
  <si>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</si>
  <si>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</si>
  <si>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</si>
  <si>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</si>
  <si>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</si>
  <si>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</si>
  <si>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</si>
  <si>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</si>
  <si>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</si>
  <si>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</si>
  <si>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</si>
  <si>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</si>
  <si>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</si>
  <si>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</si>
  <si>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</si>
  <si>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</si>
  <si>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</si>
  <si>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</si>
  <si>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</si>
  <si>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</si>
  <si>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</si>
  <si>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</si>
  <si>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</si>
  <si>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</si>
  <si>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</si>
  <si>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</si>
  <si>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</si>
  <si>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</si>
  <si>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</si>
  <si>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</si>
  <si>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</si>
  <si>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</si>
  <si>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</si>
  <si>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</si>
  <si>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</si>
  <si>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</si>
  <si>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</si>
  <si>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</si>
  <si>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</si>
  <si>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</si>
  <si>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</si>
  <si>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</si>
  <si>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</si>
  <si>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</si>
  <si>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</si>
  <si>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</si>
  <si>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</si>
  <si>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</si>
  <si>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</si>
  <si>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</si>
  <si>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</si>
  <si>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</si>
  <si>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</si>
  <si>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</si>
  <si>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</si>
  <si>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</si>
  <si>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</si>
  <si>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</si>
  <si>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</si>
  <si>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</si>
  <si>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</si>
  <si>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</si>
  <si>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</si>
  <si>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</si>
  <si>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</si>
  <si>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</si>
  <si>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</si>
  <si>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</si>
  <si>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</si>
  <si>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</si>
  <si>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</si>
  <si>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</si>
  <si>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</si>
  <si>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</si>
  <si>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</si>
  <si>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</si>
  <si>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</si>
  <si>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</si>
  <si>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</si>
  <si>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</si>
  <si>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</si>
  <si>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</si>
  <si>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</si>
  <si>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</si>
  <si>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</si>
  <si>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</si>
  <si>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</si>
  <si>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</si>
  <si>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</si>
  <si>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</si>
  <si>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</si>
  <si>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</si>
  <si>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</si>
  <si>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</si>
  <si>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</si>
  <si>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</si>
  <si>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</si>
  <si>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</si>
  <si>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</si>
  <si>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</si>
  <si>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</si>
  <si>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</si>
  <si>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</si>
  <si>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</si>
  <si>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</si>
  <si>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</si>
  <si>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</si>
  <si>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</si>
  <si>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</si>
  <si>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</si>
  <si>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</si>
  <si>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</si>
  <si>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</si>
  <si>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</si>
  <si>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</si>
  <si>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</si>
  <si>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</si>
  <si>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</si>
  <si>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</si>
  <si>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</si>
  <si>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</si>
  <si>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</si>
  <si>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</si>
  <si>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</si>
  <si>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</si>
  <si>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</si>
  <si>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</si>
  <si>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</si>
  <si>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</si>
  <si>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</si>
  <si>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</si>
  <si>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</si>
  <si>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</si>
  <si>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</si>
  <si>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</si>
  <si>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</si>
  <si>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</si>
  <si>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</si>
  <si>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</si>
  <si>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</si>
  <si>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</si>
  <si>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</si>
  <si>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</si>
  <si>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</si>
  <si>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</si>
  <si>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</si>
  <si>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</si>
  <si>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</si>
  <si>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</si>
  <si>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</si>
  <si>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</si>
  <si>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</si>
  <si>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</si>
  <si>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</si>
  <si>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</si>
  <si>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</si>
  <si>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</si>
  <si>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</si>
  <si>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</si>
  <si>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</si>
  <si>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</si>
  <si>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</si>
  <si>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</si>
  <si>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</si>
  <si>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</si>
  <si>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</si>
  <si>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</si>
  <si>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</si>
  <si>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</si>
  <si>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</si>
  <si>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</si>
  <si>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</si>
  <si>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</si>
  <si>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</si>
  <si>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</si>
  <si>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</si>
  <si>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</si>
  <si>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</si>
  <si>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</si>
  <si>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</si>
  <si>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</si>
  <si>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</si>
  <si>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</si>
  <si>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</si>
  <si>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</si>
  <si>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</si>
  <si>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</si>
  <si>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</si>
  <si>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</si>
  <si>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</si>
  <si>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</si>
  <si>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</si>
  <si>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</si>
  <si>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</si>
  <si>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</si>
  <si>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</si>
  <si>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</si>
  <si>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</si>
  <si>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</si>
  <si>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</si>
  <si>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</si>
  <si>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</si>
  <si>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</si>
  <si>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</si>
  <si>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</si>
  <si>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</si>
  <si>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</si>
  <si>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</si>
  <si>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</si>
  <si>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</si>
  <si>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</si>
  <si>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</si>
  <si>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</si>
  <si>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</si>
  <si>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</si>
  <si>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</si>
  <si>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</si>
  <si>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</si>
  <si>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</si>
  <si>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</si>
  <si>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</si>
  <si>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</si>
  <si>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</si>
  <si>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</si>
  <si>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</si>
  <si>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</si>
  <si>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</si>
  <si>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</si>
  <si>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</si>
  <si>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</si>
  <si>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</si>
  <si>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</si>
  <si>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</si>
  <si>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</si>
  <si>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</si>
  <si>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</si>
  <si>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</si>
  <si>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</si>
  <si>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</si>
  <si>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</si>
  <si>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</si>
  <si>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</si>
  <si>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</si>
  <si>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</si>
  <si>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</si>
  <si>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</si>
  <si>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</si>
  <si>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</si>
  <si>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</si>
  <si>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</si>
  <si>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</si>
  <si>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</si>
  <si>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</si>
  <si>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</si>
  <si>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</si>
  <si>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</si>
  <si>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</si>
  <si>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</si>
  <si>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</si>
  <si>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</si>
  <si>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</si>
  <si>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</si>
  <si>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</si>
  <si>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</si>
  <si>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</si>
  <si>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</si>
  <si>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</si>
  <si>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</si>
  <si>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</si>
  <si>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</si>
  <si>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</si>
  <si>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</si>
  <si>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</si>
  <si>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</si>
  <si>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</si>
  <si>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</si>
  <si>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</si>
  <si>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</si>
  <si>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</si>
  <si>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</si>
  <si>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</si>
  <si>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</si>
  <si>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</si>
  <si>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</si>
  <si>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</si>
  <si>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</si>
  <si>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</si>
  <si>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</si>
  <si>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</si>
  <si>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</si>
  <si>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</si>
  <si>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</si>
  <si>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</si>
  <si>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</si>
  <si>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</si>
  <si>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</si>
  <si>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</si>
  <si>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</si>
  <si>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</si>
  <si>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</si>
  <si>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</si>
  <si>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</si>
  <si>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</si>
  <si>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</si>
  <si>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</si>
  <si>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</si>
  <si>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</si>
  <si>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</si>
  <si>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</si>
  <si>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</si>
  <si>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</si>
  <si>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</si>
  <si>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</si>
  <si>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</si>
  <si>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</si>
  <si>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</si>
  <si>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</si>
  <si>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</si>
  <si>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</si>
  <si>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</si>
  <si>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</si>
  <si>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</si>
  <si>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</si>
  <si>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</si>
  <si>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</si>
  <si>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</si>
  <si>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</si>
  <si>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</si>
  <si>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</si>
  <si>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</si>
  <si>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</si>
  <si>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</si>
  <si>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</si>
  <si>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</si>
  <si>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</si>
  <si>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</si>
  <si>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</si>
  <si>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</si>
  <si>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</si>
  <si>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</si>
  <si>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</si>
  <si>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</si>
  <si>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</si>
  <si>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</si>
  <si>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</si>
  <si>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</si>
  <si>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</si>
  <si>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</si>
  <si>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</si>
  <si>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</si>
  <si>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</si>
  <si>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</si>
  <si>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</si>
  <si>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</si>
  <si>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</si>
  <si>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</si>
  <si>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</si>
  <si>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</si>
  <si>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</si>
  <si>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</si>
  <si>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</si>
  <si>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</si>
  <si>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</si>
  <si>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</si>
  <si>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</si>
  <si>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</si>
  <si>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</si>
  <si>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</si>
  <si>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</si>
  <si>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</si>
  <si>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</si>
  <si>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</si>
  <si>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</si>
  <si>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</si>
  <si>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</si>
  <si>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</si>
  <si>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</si>
  <si>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</si>
  <si>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</si>
  <si>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</si>
  <si>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</si>
  <si>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</si>
  <si>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</si>
  <si>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</si>
  <si>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</si>
  <si>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</si>
  <si>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</si>
  <si>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</si>
  <si>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</si>
  <si>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</si>
  <si>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</si>
  <si>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</si>
  <si>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</si>
  <si>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</si>
  <si>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</si>
  <si>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</si>
  <si>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</si>
  <si>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</si>
  <si>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</si>
  <si>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</si>
  <si>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</si>
  <si>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</si>
  <si>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</si>
  <si>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</si>
  <si>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</si>
  <si>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</si>
  <si>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</si>
  <si>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</si>
  <si>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</si>
  <si>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</si>
  <si>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</si>
  <si>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</si>
  <si>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</si>
  <si>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</si>
  <si>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</si>
  <si>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</si>
  <si>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</si>
  <si>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</si>
  <si>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</si>
  <si>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</si>
  <si>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</si>
  <si>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</si>
  <si>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</si>
  <si>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</si>
  <si>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</si>
  <si>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</si>
  <si>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</si>
  <si>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</si>
  <si>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</si>
  <si>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</si>
  <si>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</si>
  <si>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</si>
  <si>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</si>
  <si>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</si>
  <si>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</si>
  <si>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</si>
  <si>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</si>
  <si>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</si>
  <si>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</si>
  <si>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</si>
  <si>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</si>
  <si>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</si>
  <si>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</si>
  <si>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</si>
  <si>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</si>
  <si>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</si>
  <si>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</si>
  <si>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</si>
  <si>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</si>
  <si>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</si>
  <si>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</si>
  <si>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</si>
  <si>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</si>
  <si>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</si>
  <si>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</si>
  <si>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</si>
  <si>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</si>
  <si>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</si>
  <si>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</si>
  <si>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</si>
  <si>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</si>
  <si>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</si>
  <si>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</si>
  <si>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</si>
  <si>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</si>
  <si>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</si>
  <si>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</si>
  <si>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</si>
  <si>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</si>
  <si>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</si>
  <si>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</si>
  <si>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</si>
  <si>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</si>
  <si>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</si>
  <si>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</si>
  <si>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</si>
  <si>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</si>
  <si>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</si>
  <si>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</si>
  <si>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</si>
  <si>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</si>
  <si>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</si>
  <si>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</si>
  <si>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</si>
  <si>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</si>
  <si>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</si>
  <si>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</si>
  <si>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</si>
  <si>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</si>
  <si>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</si>
  <si>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</si>
  <si>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</si>
  <si>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</si>
  <si>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</si>
  <si>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</si>
  <si>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</si>
  <si>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</si>
  <si>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</si>
  <si>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</si>
  <si>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</si>
  <si>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</si>
  <si>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</si>
  <si>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</si>
  <si>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</si>
  <si>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</si>
  <si>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</si>
  <si>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</si>
  <si>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</si>
  <si>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</si>
  <si>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</si>
  <si>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</si>
  <si>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</si>
  <si>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</si>
  <si>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</si>
  <si>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</si>
  <si>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</si>
  <si>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</si>
  <si>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</si>
  <si>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</si>
  <si>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</si>
  <si>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</si>
  <si>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</si>
  <si>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</si>
  <si>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</si>
  <si>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</si>
  <si>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</si>
  <si>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</si>
  <si>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</si>
  <si>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</si>
  <si>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</si>
  <si>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</si>
  <si>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</si>
  <si>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</si>
  <si>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</si>
  <si>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</si>
  <si>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</si>
  <si>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</si>
  <si>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</si>
  <si>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</si>
  <si>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</si>
  <si>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</si>
  <si>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</si>
  <si>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</si>
  <si>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</si>
  <si>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</si>
  <si>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</si>
  <si>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</si>
  <si>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</si>
  <si>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</si>
  <si>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</si>
  <si>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</si>
  <si>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</si>
  <si>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</si>
  <si>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</si>
  <si>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</si>
  <si>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</si>
  <si>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</si>
  <si>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</si>
  <si>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</si>
  <si>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</si>
  <si>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</si>
  <si>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</si>
  <si>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</si>
  <si>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</si>
  <si>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</si>
  <si>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</si>
  <si>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</si>
  <si>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</si>
  <si>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</si>
  <si>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</si>
  <si>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</si>
  <si>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</si>
  <si>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</si>
  <si>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</si>
  <si>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</si>
  <si>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</si>
  <si>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</si>
  <si>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</si>
  <si>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</si>
  <si>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</si>
  <si>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</si>
  <si>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</si>
  <si>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</si>
  <si>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</si>
  <si>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</si>
  <si>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</si>
  <si>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</si>
  <si>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</si>
  <si>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</si>
  <si>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</si>
  <si>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</si>
  <si>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</si>
  <si>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</si>
  <si>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</si>
  <si>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</si>
  <si>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</si>
  <si>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</si>
  <si>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</si>
  <si>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</si>
  <si>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</si>
  <si>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</si>
  <si>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</si>
  <si>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</si>
  <si>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</si>
  <si>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</si>
  <si>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</si>
  <si>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</si>
  <si>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</si>
  <si>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</si>
  <si>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</si>
  <si>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</si>
  <si>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</si>
  <si>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</si>
  <si>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</si>
  <si>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</si>
  <si>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</si>
  <si>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</si>
  <si>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</si>
  <si>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</si>
  <si>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</si>
  <si>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</si>
  <si>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</si>
  <si>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</si>
  <si>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</si>
  <si>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</si>
  <si>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</si>
  <si>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</si>
  <si>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</si>
  <si>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</si>
  <si>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</si>
  <si>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</si>
  <si>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</si>
  <si>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</si>
  <si>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</si>
  <si>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</si>
  <si>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</si>
  <si>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</si>
  <si>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</si>
  <si>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</si>
  <si>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</si>
  <si>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</si>
  <si>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</si>
  <si>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</si>
  <si>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</si>
  <si>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</si>
  <si>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</si>
  <si>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</si>
  <si>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</si>
  <si>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</si>
  <si>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</si>
  <si>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</si>
  <si>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</si>
  <si>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</si>
  <si>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</si>
  <si>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</si>
  <si>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</si>
  <si>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</si>
  <si>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</si>
  <si>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</si>
  <si>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</si>
  <si>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</si>
  <si>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</si>
  <si>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</si>
  <si>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</si>
  <si>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</si>
  <si>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</si>
  <si>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</si>
  <si>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</si>
  <si>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</si>
  <si>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</si>
  <si>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</si>
  <si>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</si>
  <si>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</si>
  <si>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</si>
  <si>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</si>
  <si>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</si>
  <si>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</si>
  <si>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</si>
  <si>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</si>
  <si>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</si>
  <si>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</si>
  <si>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</si>
  <si>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</si>
  <si>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</si>
  <si>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</si>
  <si>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</si>
  <si>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</si>
  <si>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</si>
  <si>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</si>
  <si>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</si>
  <si>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</si>
  <si>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</si>
  <si>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</si>
  <si>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</si>
  <si>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</si>
  <si>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</si>
  <si>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</si>
  <si>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</si>
  <si>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</si>
  <si>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</si>
  <si>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</si>
  <si>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</si>
  <si>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</si>
  <si>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</si>
  <si>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</si>
  <si>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</si>
  <si>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</si>
  <si>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</si>
  <si>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</si>
  <si>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</si>
  <si>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</si>
  <si>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</si>
  <si>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</si>
  <si>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</si>
  <si>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</si>
  <si>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</si>
  <si>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</si>
  <si>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</si>
  <si>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</si>
  <si>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</si>
  <si>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</si>
  <si>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</si>
  <si>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</si>
  <si>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</si>
  <si>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</si>
  <si>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</si>
  <si>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</si>
  <si>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</si>
  <si>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</si>
  <si>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</si>
  <si>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</si>
  <si>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</si>
  <si>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</si>
  <si>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</si>
  <si>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</si>
  <si>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</si>
  <si>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</si>
  <si>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</si>
  <si>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</si>
  <si>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</si>
  <si>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</si>
  <si>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</si>
  <si>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</si>
  <si>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</si>
  <si>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</si>
  <si>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</si>
  <si>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</si>
  <si>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</si>
  <si>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</si>
  <si>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</si>
  <si>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</si>
  <si>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</si>
  <si>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</si>
  <si>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</si>
  <si>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</si>
  <si>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</si>
  <si>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</si>
  <si>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</si>
  <si>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</si>
  <si>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</si>
  <si>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</si>
  <si>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</si>
  <si>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</si>
  <si>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</si>
  <si>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</si>
  <si>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</si>
  <si>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</si>
  <si>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</si>
  <si>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</si>
  <si>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</si>
  <si>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</si>
  <si>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</si>
  <si>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</si>
  <si>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</si>
  <si>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</si>
  <si>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</si>
  <si>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</si>
  <si>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</si>
  <si>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</si>
  <si>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</si>
  <si>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</si>
  <si>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</si>
  <si>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</si>
  <si>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</si>
  <si>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</si>
  <si>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</si>
  <si>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</si>
  <si>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</si>
  <si>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</si>
  <si>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</si>
  <si>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</si>
  <si>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</si>
  <si>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</si>
  <si>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</si>
  <si>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</si>
  <si>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</si>
  <si>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</si>
  <si>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</si>
  <si>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</si>
  <si>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</si>
  <si>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</si>
  <si>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</si>
  <si>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</si>
  <si>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</si>
  <si>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</si>
  <si>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</si>
  <si>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</si>
  <si>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</si>
  <si>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</si>
  <si>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</si>
  <si>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</si>
  <si>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</si>
  <si>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</si>
  <si>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</si>
  <si>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</si>
  <si>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</si>
  <si>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</si>
  <si>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</si>
  <si>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</si>
  <si>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</si>
  <si>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</si>
  <si>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</si>
  <si>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</si>
  <si>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</si>
  <si>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</si>
  <si>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</si>
  <si>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</si>
  <si>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</si>
  <si>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</si>
  <si>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</si>
  <si>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</si>
  <si>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</si>
  <si>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</si>
  <si>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</si>
  <si>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</si>
  <si>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</si>
  <si>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</si>
  <si>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</si>
  <si>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</si>
  <si>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</si>
  <si>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</si>
  <si>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</si>
  <si>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</si>
  <si>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</si>
  <si>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</si>
  <si>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</si>
  <si>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</si>
  <si>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</si>
  <si>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</si>
  <si>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</si>
  <si>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</si>
  <si>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</si>
  <si>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</si>
  <si>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</si>
  <si>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</si>
  <si>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</si>
  <si>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</si>
  <si>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</si>
  <si>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</si>
  <si>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</si>
  <si>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</si>
  <si>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</si>
  <si>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</si>
  <si>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</si>
  <si>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</si>
  <si>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</si>
  <si>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</si>
  <si>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</si>
  <si>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</si>
  <si>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</si>
  <si>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</si>
  <si>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</si>
  <si>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</si>
  <si>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</si>
  <si>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</si>
  <si>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</si>
  <si>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</si>
  <si>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</si>
  <si>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</si>
  <si>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</si>
  <si>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</si>
  <si>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</si>
  <si>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</si>
  <si>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</si>
  <si>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</si>
  <si>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</si>
  <si>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</si>
  <si>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</si>
  <si>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</si>
  <si>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</si>
  <si>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</si>
  <si>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</si>
  <si>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</si>
  <si>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</si>
  <si>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</si>
  <si>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</si>
  <si>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</si>
  <si>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</si>
  <si>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</si>
  <si>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</si>
  <si>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</si>
  <si>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</si>
  <si>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</si>
  <si>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</si>
  <si>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</si>
  <si>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</si>
  <si>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</si>
  <si>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</si>
  <si>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</si>
  <si>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</si>
  <si>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</si>
  <si>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</si>
  <si>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</si>
  <si>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</si>
  <si>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</si>
  <si>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</si>
  <si>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</si>
  <si>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</si>
  <si>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</si>
  <si>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</si>
  <si>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</si>
  <si>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</si>
  <si>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</si>
  <si>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</si>
  <si>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</si>
  <si>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</si>
  <si>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</si>
  <si>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</si>
  <si>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</si>
  <si>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</si>
  <si>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</si>
  <si>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</si>
  <si>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</si>
  <si>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</si>
  <si>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</si>
  <si>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</si>
  <si>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</si>
  <si>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</si>
  <si>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</si>
  <si>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</si>
  <si>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</si>
  <si>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</si>
  <si>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</si>
  <si>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</si>
  <si>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</si>
  <si>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</si>
  <si>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</si>
  <si>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</si>
  <si>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</si>
  <si>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</si>
  <si>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</si>
  <si>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</si>
  <si>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</si>
  <si>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</si>
  <si>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</si>
  <si>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</si>
  <si>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</si>
  <si>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</si>
  <si>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</si>
  <si>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</si>
  <si>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</si>
  <si>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</si>
  <si>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</si>
  <si>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</si>
  <si>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</si>
  <si>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</si>
  <si>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</si>
  <si>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</si>
  <si>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</si>
  <si>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</si>
  <si>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</si>
  <si>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</si>
  <si>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</si>
  <si>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</si>
  <si>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</si>
  <si>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</si>
  <si>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</si>
  <si>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</si>
  <si>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</si>
  <si>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</si>
  <si>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</si>
  <si>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</si>
  <si>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</si>
  <si>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</si>
  <si>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</si>
  <si>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</si>
  <si>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</si>
  <si>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</si>
  <si>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</si>
  <si>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</si>
  <si>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</si>
  <si>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</si>
  <si>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</si>
  <si>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</si>
  <si>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</si>
  <si>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</si>
  <si>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</si>
  <si>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</si>
  <si>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</si>
  <si>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</si>
  <si>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</si>
  <si>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</si>
  <si>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</si>
  <si>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</si>
  <si>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</si>
  <si>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</si>
  <si>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</si>
  <si>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</si>
  <si>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</si>
  <si>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</si>
  <si>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</si>
  <si>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</si>
  <si>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</si>
  <si>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</si>
  <si>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</si>
  <si>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</si>
  <si>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</si>
  <si>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</si>
  <si>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</si>
  <si>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</si>
  <si>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</si>
  <si>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</si>
  <si>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</si>
  <si>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</si>
  <si>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</si>
  <si>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</si>
  <si>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</si>
  <si>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</si>
  <si>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</si>
  <si>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</si>
  <si>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</si>
  <si>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</si>
  <si>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</si>
  <si>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</si>
  <si>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</si>
  <si>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</si>
  <si>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</si>
  <si>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</si>
  <si>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</si>
  <si>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</si>
  <si>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</si>
  <si>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</si>
  <si>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</si>
  <si>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</si>
  <si>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</si>
  <si>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</si>
  <si>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</si>
  <si>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</si>
  <si>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</si>
  <si>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</si>
  <si>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</si>
  <si>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</si>
  <si>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</si>
  <si>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</si>
  <si>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</si>
  <si>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</si>
  <si>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</si>
  <si>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</si>
  <si>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</si>
  <si>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</si>
  <si>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</si>
  <si>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</si>
  <si>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</si>
  <si>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</si>
  <si>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</si>
  <si>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</si>
  <si>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</si>
  <si>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</si>
  <si>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</si>
  <si>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</si>
  <si>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</si>
  <si>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</si>
  <si>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</si>
  <si>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</si>
  <si>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</si>
  <si>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</si>
  <si>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</si>
  <si>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</si>
  <si>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</si>
  <si>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</si>
  <si>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</si>
  <si>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</si>
  <si>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</si>
  <si>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</si>
  <si>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</si>
  <si>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</si>
  <si>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</si>
  <si>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</si>
  <si>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</si>
  <si>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</si>
  <si>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</si>
  <si>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</si>
  <si>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</si>
  <si>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</si>
  <si>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</si>
  <si>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</si>
  <si>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</si>
  <si>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</si>
  <si>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</si>
  <si>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</si>
  <si>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</si>
  <si>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</si>
  <si>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</si>
  <si>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</si>
  <si>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</si>
  <si>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</si>
  <si>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</si>
  <si>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</si>
  <si>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</si>
  <si>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</si>
  <si>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</si>
  <si>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</si>
  <si>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</si>
  <si>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</si>
  <si>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</si>
  <si>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</si>
  <si>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</si>
  <si>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</si>
  <si>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</si>
  <si>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</si>
  <si>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</si>
  <si>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</si>
  <si>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</si>
  <si>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</si>
  <si>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</si>
  <si>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</si>
  <si>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</si>
  <si>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</si>
  <si>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</si>
  <si>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</si>
  <si>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</si>
  <si>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</si>
  <si>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</si>
  <si>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</si>
  <si>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</si>
  <si>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</si>
  <si>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</si>
  <si>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</si>
  <si>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</si>
  <si>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</si>
  <si>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</si>
  <si>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</si>
  <si>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</si>
  <si>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</si>
  <si>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</si>
  <si>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</si>
  <si>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</si>
  <si>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</si>
  <si>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</si>
  <si>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</si>
  <si>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</si>
  <si>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</si>
  <si>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</si>
  <si>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</si>
  <si>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</si>
  <si>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</si>
  <si>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</si>
  <si>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</si>
  <si>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</si>
  <si>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</si>
  <si>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</si>
  <si>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</si>
  <si>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</si>
  <si>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</si>
  <si>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</si>
  <si>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</si>
  <si>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</si>
  <si>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</si>
  <si>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</si>
  <si>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</si>
  <si>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</si>
  <si>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</si>
  <si>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</si>
  <si>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</si>
  <si>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</si>
  <si>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</si>
  <si>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</si>
  <si>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</si>
  <si>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</si>
  <si>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</si>
  <si>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</si>
  <si>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</si>
  <si>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</si>
  <si>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</si>
  <si>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</si>
  <si>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</si>
  <si>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</si>
  <si>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</si>
  <si>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</si>
  <si>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</si>
  <si>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</si>
  <si>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</si>
  <si>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</si>
  <si>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</si>
  <si>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</si>
  <si>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</si>
  <si>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</si>
  <si>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</si>
  <si>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</si>
  <si>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</si>
  <si>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</si>
  <si>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</si>
  <si>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</si>
  <si>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</si>
  <si>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</si>
  <si>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</si>
  <si>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</si>
  <si>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</si>
  <si>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</si>
  <si>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</si>
  <si>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</si>
  <si>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</si>
  <si>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</si>
  <si>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</si>
  <si>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</si>
  <si>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</si>
  <si>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</si>
  <si>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</si>
  <si>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</si>
  <si>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</si>
  <si>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</si>
  <si>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</si>
  <si>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</si>
  <si>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</si>
  <si>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</si>
  <si>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</si>
  <si>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</si>
  <si>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</si>
  <si>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</si>
  <si>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</si>
  <si>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</si>
  <si>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</si>
  <si>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</si>
  <si>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</si>
  <si>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</si>
  <si>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</si>
  <si>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</si>
  <si>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</si>
  <si>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</si>
  <si>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</si>
  <si>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</si>
  <si>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</si>
  <si>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</si>
  <si>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</si>
  <si>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</si>
  <si>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</si>
  <si>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</si>
  <si>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</si>
  <si>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</si>
  <si>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</si>
  <si>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</si>
  <si>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</si>
  <si>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</si>
  <si>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</si>
  <si>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</si>
  <si>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</si>
  <si>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</si>
  <si>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</si>
  <si>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</si>
  <si>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</si>
  <si>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</si>
  <si>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</si>
  <si>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</si>
  <si>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</si>
  <si>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</si>
  <si>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</si>
  <si>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</si>
  <si>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</si>
  <si>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</si>
  <si>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</si>
  <si>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</si>
  <si>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</si>
  <si>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</si>
  <si>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</si>
  <si>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</si>
  <si>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</si>
  <si>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</si>
  <si>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</si>
  <si>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</si>
  <si>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</si>
  <si>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</si>
  <si>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</si>
  <si>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</si>
  <si>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</si>
  <si>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</si>
  <si>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</si>
  <si>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</si>
  <si>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</si>
  <si>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</si>
  <si>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</si>
  <si>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</si>
  <si>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</si>
  <si>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</si>
  <si>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</si>
  <si>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</si>
  <si>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</si>
  <si>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</si>
  <si>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</si>
  <si>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</si>
  <si>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</si>
  <si>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</si>
  <si>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</si>
  <si>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</si>
  <si>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</si>
  <si>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</si>
  <si>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</si>
  <si>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</si>
  <si>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</si>
  <si>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</si>
  <si>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</si>
  <si>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</si>
  <si>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</si>
  <si>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</si>
  <si>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</si>
  <si>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</si>
  <si>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</si>
  <si>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</si>
  <si>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</si>
  <si>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</si>
  <si>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</si>
  <si>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</si>
  <si>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</si>
  <si>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</si>
  <si>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</si>
  <si>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</si>
  <si>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</si>
  <si>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</si>
  <si>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</si>
  <si>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</si>
  <si>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</si>
  <si>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</si>
  <si>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</si>
  <si>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</si>
  <si>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</si>
  <si>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</si>
  <si>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</si>
  <si>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</si>
  <si>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</si>
  <si>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</si>
  <si>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</si>
  <si>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</si>
  <si>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</si>
  <si>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</si>
  <si>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</si>
  <si>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</si>
  <si>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</si>
  <si>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</si>
  <si>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</si>
  <si>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</si>
  <si>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</si>
  <si>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</si>
  <si>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</si>
  <si>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</si>
  <si>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</si>
  <si>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</si>
  <si>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</si>
  <si>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</si>
  <si>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</si>
  <si>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</si>
  <si>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</si>
  <si>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</si>
  <si>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</si>
  <si>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</si>
  <si>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</si>
  <si>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</si>
  <si>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</si>
  <si>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</si>
  <si>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</si>
  <si>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</si>
  <si>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</si>
  <si>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</si>
  <si>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</si>
  <si>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</si>
  <si>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</si>
  <si>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</si>
  <si>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</si>
  <si>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</si>
  <si>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</si>
  <si>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</si>
  <si>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</si>
  <si>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</si>
  <si>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</si>
  <si>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</si>
  <si>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</si>
  <si>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</si>
  <si>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</si>
  <si>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</si>
  <si>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</si>
  <si>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</si>
  <si>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</si>
  <si>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</si>
  <si>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</si>
  <si>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</si>
  <si>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</si>
  <si>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</si>
  <si>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</si>
  <si>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</si>
  <si>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</si>
  <si>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</si>
  <si>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</si>
  <si>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</si>
  <si>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</si>
  <si>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</si>
  <si>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</si>
  <si>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</si>
  <si>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</si>
  <si>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</si>
  <si>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</si>
  <si>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</si>
  <si>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</si>
  <si>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</si>
  <si>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</si>
  <si>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</si>
  <si>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</si>
  <si>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</si>
  <si>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</si>
  <si>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</si>
  <si>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</si>
  <si>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</si>
  <si>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</si>
  <si>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</si>
  <si>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</si>
  <si>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</si>
  <si>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</si>
  <si>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</si>
  <si>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</si>
  <si>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</si>
  <si>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</si>
  <si>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</si>
  <si>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</si>
  <si>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</si>
  <si>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</si>
  <si>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</si>
  <si>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</si>
  <si>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</si>
  <si>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</si>
  <si>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</si>
  <si>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</si>
  <si>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</si>
  <si>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</si>
  <si>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</si>
  <si>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</si>
  <si>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</si>
  <si>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</si>
  <si>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</si>
  <si>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</si>
  <si>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</si>
  <si>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</si>
  <si>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</si>
  <si>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</si>
  <si>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</si>
  <si>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</si>
  <si>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</si>
  <si>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</si>
  <si>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</si>
  <si>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</si>
  <si>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</si>
  <si>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</si>
  <si>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</si>
  <si>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</si>
  <si>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</si>
  <si>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</si>
  <si>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</si>
  <si>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</si>
  <si>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</si>
  <si>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</si>
  <si>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</si>
  <si>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</si>
  <si>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</si>
  <si>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</si>
  <si>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</si>
  <si>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</si>
  <si>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</si>
  <si>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</si>
  <si>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</si>
  <si>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</si>
  <si>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</si>
  <si>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</si>
  <si>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</si>
  <si>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</si>
  <si>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</si>
  <si>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</si>
  <si>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</si>
  <si>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</si>
  <si>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</si>
  <si>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</si>
  <si>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</si>
  <si>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</si>
  <si>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</si>
  <si>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</si>
  <si>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</si>
  <si>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</si>
  <si>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</si>
  <si>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</si>
  <si>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</si>
  <si>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</si>
  <si>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</si>
  <si>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</si>
  <si>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</si>
  <si>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</si>
  <si>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</si>
  <si>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</si>
  <si>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</si>
  <si>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</si>
  <si>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</si>
  <si>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</si>
  <si>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</si>
  <si>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</si>
  <si>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</si>
  <si>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</si>
  <si>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</si>
  <si>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</si>
  <si>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</si>
  <si>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</si>
  <si>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</si>
  <si>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</si>
  <si>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</si>
  <si>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</si>
  <si>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</si>
  <si>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</si>
  <si>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</si>
  <si>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</si>
  <si>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</si>
  <si>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</si>
  <si>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</si>
  <si>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</si>
  <si>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</si>
  <si>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</si>
  <si>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</si>
  <si>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</si>
  <si>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</si>
  <si>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</si>
  <si>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</si>
  <si>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</si>
  <si>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</si>
  <si>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</si>
  <si>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</si>
  <si>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</si>
  <si>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</si>
  <si>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</si>
  <si>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</si>
  <si>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</si>
  <si>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</si>
  <si>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</si>
  <si>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</si>
  <si>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</si>
  <si>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</si>
  <si>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</si>
  <si>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</si>
  <si>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</si>
  <si>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</si>
  <si>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</si>
  <si>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</si>
  <si>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</si>
  <si>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</si>
  <si>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</si>
  <si>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</si>
  <si>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</si>
  <si>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</si>
  <si>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</si>
  <si>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</si>
  <si>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</si>
  <si>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</si>
  <si>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</si>
  <si>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</si>
  <si>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</si>
  <si>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</si>
  <si>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</si>
  <si>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</si>
  <si>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</si>
  <si>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</si>
  <si>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</si>
  <si>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</si>
  <si>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</si>
  <si>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</si>
  <si>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</si>
  <si>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</si>
  <si>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</si>
  <si>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</si>
  <si>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</si>
  <si>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</si>
  <si>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</si>
  <si>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</si>
  <si>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</si>
  <si>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</si>
  <si>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</si>
  <si>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</si>
  <si>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</si>
  <si>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</si>
  <si>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</si>
  <si>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</si>
  <si>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</si>
  <si>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</si>
  <si>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</si>
  <si>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</si>
  <si>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</si>
  <si>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</si>
  <si>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</si>
  <si>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</si>
  <si>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</si>
  <si>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</si>
  <si>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</si>
  <si>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</si>
  <si>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</si>
  <si>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</si>
  <si>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</si>
  <si>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</si>
  <si>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</si>
  <si>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</si>
  <si>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</si>
  <si>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</si>
  <si>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</si>
  <si>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</si>
  <si>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</si>
  <si>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</si>
  <si>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</si>
  <si>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</si>
  <si>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</si>
  <si>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</si>
  <si>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</si>
  <si>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</si>
  <si>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</si>
  <si>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</si>
  <si>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</si>
  <si>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</si>
  <si>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</si>
  <si>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</si>
  <si>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</si>
  <si>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</si>
  <si>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</si>
  <si>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</si>
  <si>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</si>
  <si>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</si>
  <si>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</si>
  <si>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</si>
  <si>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</si>
  <si>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</si>
  <si>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</si>
  <si>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</si>
  <si>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</si>
  <si>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</si>
  <si>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</si>
  <si>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</si>
  <si>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</si>
  <si>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</si>
  <si>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</si>
  <si>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</si>
  <si>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</si>
  <si>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</si>
  <si>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</si>
  <si>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</si>
  <si>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</si>
  <si>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</si>
  <si>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</si>
  <si>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</si>
  <si>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</si>
  <si>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</si>
  <si>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</si>
  <si>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</si>
  <si>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</si>
  <si>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</si>
  <si>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</si>
  <si>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</si>
  <si>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</si>
  <si>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</si>
  <si>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</si>
  <si>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</si>
  <si>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</si>
  <si>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</si>
  <si>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</si>
  <si>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</si>
  <si>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</si>
  <si>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</si>
  <si>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</si>
  <si>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</si>
  <si>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</si>
  <si>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</si>
  <si>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</si>
  <si>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</si>
  <si>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</si>
  <si>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</si>
  <si>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</si>
  <si>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</si>
  <si>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</si>
  <si>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</si>
  <si>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</si>
  <si>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</si>
  <si>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</si>
  <si>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</si>
  <si>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</si>
  <si>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</si>
  <si>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</si>
  <si>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</si>
  <si>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</si>
  <si>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</si>
  <si>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</si>
  <si>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</si>
  <si>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</si>
  <si>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</si>
  <si>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</si>
  <si>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</si>
  <si>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</si>
  <si>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</si>
  <si>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</si>
  <si>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</si>
  <si>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</si>
  <si>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</si>
  <si>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</si>
  <si>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</si>
  <si>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</si>
  <si>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</si>
  <si>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</si>
  <si>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</si>
  <si>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</si>
  <si>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</si>
  <si>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</si>
  <si>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</si>
  <si>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</si>
  <si>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</si>
  <si>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</si>
  <si>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</si>
  <si>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</si>
  <si>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</si>
  <si>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</si>
  <si>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</si>
  <si>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</si>
  <si>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</si>
  <si>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</si>
  <si>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</si>
  <si>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</si>
  <si>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</si>
  <si>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</si>
  <si>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</si>
  <si>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</si>
  <si>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</si>
  <si>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</si>
  <si>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</si>
  <si>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</si>
  <si>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</si>
  <si>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</si>
  <si>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</si>
  <si>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</si>
  <si>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</si>
  <si>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</si>
  <si>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</si>
  <si>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</si>
  <si>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</si>
  <si>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</si>
  <si>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</si>
  <si>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</si>
  <si>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</si>
  <si>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</si>
  <si>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</si>
  <si>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</si>
  <si>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</si>
  <si>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</si>
  <si>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</si>
  <si>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</si>
  <si>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</si>
  <si>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</si>
  <si>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</si>
  <si>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</si>
  <si>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</si>
  <si>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</si>
  <si>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</si>
  <si>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</si>
  <si>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</si>
  <si>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</si>
  <si>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</si>
  <si>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</si>
  <si>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</si>
  <si>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</si>
  <si>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</si>
  <si>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</si>
  <si>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</si>
  <si>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</si>
  <si>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</si>
  <si>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</si>
  <si>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</si>
  <si>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</si>
  <si>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</si>
  <si>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</si>
  <si>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</si>
  <si>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</si>
  <si>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</si>
  <si>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</si>
  <si>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</si>
  <si>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</si>
  <si>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</si>
  <si>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</si>
  <si>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</si>
  <si>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</si>
  <si>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</si>
  <si>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</si>
  <si>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</si>
  <si>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</si>
  <si>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</si>
  <si>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</si>
  <si>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</si>
  <si>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</si>
  <si>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</si>
  <si>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</si>
  <si>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</si>
  <si>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</si>
  <si>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</si>
  <si>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</si>
  <si>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</si>
  <si>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</si>
  <si>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</si>
  <si>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</si>
  <si>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</si>
  <si>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</si>
  <si>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</si>
  <si>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</si>
  <si>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</si>
  <si>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</si>
  <si>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</si>
  <si>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</si>
  <si>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</si>
  <si>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</si>
  <si>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</si>
  <si>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</si>
  <si>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</si>
  <si>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</si>
  <si>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</si>
  <si>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</si>
  <si>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</si>
  <si>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</si>
  <si>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</si>
  <si>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</si>
  <si>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</si>
  <si>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</si>
  <si>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</si>
  <si>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</si>
  <si>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</si>
  <si>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</si>
  <si>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</si>
  <si>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</si>
  <si>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</si>
  <si>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</si>
  <si>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</si>
  <si>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</si>
  <si>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</si>
  <si>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</si>
  <si>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</si>
  <si>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</si>
  <si>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</si>
  <si>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</si>
  <si>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</si>
  <si>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</si>
  <si>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</si>
  <si>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</si>
  <si>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</si>
  <si>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</si>
  <si>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</si>
  <si>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</si>
  <si>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</si>
  <si>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</si>
  <si>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</si>
  <si>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</si>
  <si>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</si>
  <si>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</si>
  <si>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</si>
  <si>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</si>
  <si>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</si>
  <si>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</si>
  <si>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</si>
  <si>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</si>
  <si>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</si>
  <si>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</si>
  <si>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</si>
  <si>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</si>
  <si>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</si>
  <si>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</si>
  <si>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</si>
  <si>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</si>
  <si>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</si>
  <si>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</si>
  <si>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</si>
  <si>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</si>
  <si>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</si>
  <si>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</si>
  <si>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</si>
  <si>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</si>
  <si>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</si>
  <si>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</si>
  <si>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</si>
  <si>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</si>
  <si>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</si>
  <si>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</si>
  <si>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</si>
  <si>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</si>
  <si>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</si>
  <si>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</si>
  <si>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</si>
  <si>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</si>
  <si>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</si>
  <si>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</si>
  <si>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</si>
  <si>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</si>
  <si>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</si>
  <si>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</si>
  <si>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</si>
  <si>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</si>
  <si>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</si>
  <si>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</si>
  <si>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</si>
  <si>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</si>
  <si>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</si>
  <si>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</si>
  <si>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</si>
  <si>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</si>
  <si>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</si>
  <si>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</si>
  <si>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</si>
  <si>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</si>
  <si>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</si>
  <si>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</si>
  <si>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</si>
  <si>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</si>
  <si>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</si>
  <si>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</si>
  <si>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</si>
  <si>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</si>
  <si>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</si>
  <si>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</si>
  <si>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</si>
  <si>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</si>
  <si>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</si>
  <si>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</si>
  <si>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</si>
  <si>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</si>
  <si>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</si>
  <si>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</si>
  <si>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</si>
  <si>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</si>
  <si>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</si>
  <si>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</si>
  <si>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</si>
  <si>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</si>
  <si>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</si>
  <si>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</si>
  <si>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</si>
  <si>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</si>
  <si>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</si>
  <si>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</si>
  <si>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</si>
  <si>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</si>
  <si>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</si>
  <si>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</si>
  <si>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</si>
  <si>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</si>
  <si>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</si>
  <si>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</si>
  <si>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</si>
  <si>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</si>
  <si>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</si>
  <si>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</si>
  <si>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</si>
  <si>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</si>
  <si>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</si>
  <si>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</si>
  <si>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</si>
  <si>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</si>
  <si>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</si>
  <si>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</si>
  <si>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</si>
  <si>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</si>
  <si>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</si>
  <si>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</si>
  <si>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</si>
  <si>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</si>
  <si>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</si>
  <si>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</si>
  <si>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</si>
  <si>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</si>
  <si>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</si>
  <si>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</si>
  <si>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</si>
  <si>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</si>
  <si>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</si>
  <si>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</si>
  <si>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</si>
  <si>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</si>
  <si>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</si>
  <si>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</si>
  <si>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</si>
  <si>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</si>
  <si>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</si>
  <si>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</si>
  <si>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</si>
  <si>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</si>
  <si>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</si>
  <si>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</si>
  <si>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</si>
  <si>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</si>
  <si>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</si>
  <si>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</si>
  <si>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</si>
  <si>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</si>
  <si>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</si>
  <si>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</si>
  <si>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</si>
  <si>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</si>
  <si>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</si>
  <si>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</si>
  <si>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</si>
  <si>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</si>
  <si>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</si>
  <si>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</si>
  <si>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</si>
  <si>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</si>
  <si>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</si>
  <si>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</si>
  <si>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</si>
  <si>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</si>
  <si>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</si>
  <si>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</si>
  <si>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</si>
  <si>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</si>
  <si>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</si>
  <si>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</si>
  <si>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</si>
  <si>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</si>
  <si>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</si>
  <si>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</si>
  <si>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</si>
  <si>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</si>
  <si>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</si>
  <si>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</si>
  <si>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</si>
  <si>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</si>
  <si>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</si>
  <si>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</si>
  <si>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</si>
  <si>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</si>
  <si>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</si>
  <si>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</si>
  <si>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</si>
  <si>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</si>
  <si>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</si>
  <si>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</si>
  <si>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</si>
  <si>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</si>
  <si>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</si>
  <si>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</si>
  <si>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</si>
  <si>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</si>
  <si>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</si>
  <si>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</si>
  <si>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</si>
  <si>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</si>
  <si>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</si>
  <si>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</si>
  <si>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</si>
  <si>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</si>
  <si>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</si>
  <si>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</si>
  <si>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</si>
  <si>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</si>
  <si>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</si>
  <si>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</si>
  <si>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</si>
  <si>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</si>
  <si>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</si>
  <si>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</si>
  <si>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</si>
  <si>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</si>
  <si>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</si>
  <si>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</si>
  <si>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</si>
  <si>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</si>
  <si>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</si>
  <si>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</si>
  <si>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</si>
  <si>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</si>
  <si>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</si>
  <si>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</si>
  <si>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</si>
  <si>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</si>
  <si>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</si>
  <si>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</si>
  <si>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</si>
  <si>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</si>
  <si>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</si>
  <si>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</si>
  <si>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</si>
  <si>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</si>
  <si>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</si>
  <si>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</si>
  <si>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</si>
  <si>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</si>
  <si>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</si>
  <si>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</si>
  <si>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</si>
  <si>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</si>
  <si>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</si>
  <si>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</si>
  <si>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</si>
  <si>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</si>
  <si>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</si>
  <si>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</si>
  <si>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</si>
  <si>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</si>
  <si>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</si>
  <si>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</si>
  <si>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</si>
  <si>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</si>
  <si>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</si>
  <si>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</si>
  <si>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</si>
  <si>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</si>
  <si>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</si>
  <si>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</si>
  <si>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</si>
  <si>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</si>
  <si>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</si>
  <si>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</si>
  <si>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</si>
  <si>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</si>
  <si>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</si>
  <si>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</si>
  <si>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</si>
  <si>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</si>
  <si>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</si>
  <si>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</si>
  <si>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</si>
  <si>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</si>
  <si>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</si>
  <si>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</si>
  <si>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</si>
  <si>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</si>
  <si>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</si>
  <si>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</si>
  <si>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</si>
  <si>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</si>
  <si>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</si>
  <si>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</si>
  <si>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</si>
  <si>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</si>
  <si>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</si>
  <si>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</si>
  <si>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</si>
  <si>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</si>
  <si>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</si>
  <si>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</si>
  <si>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</si>
  <si>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</si>
  <si>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</si>
  <si>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</si>
  <si>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</si>
  <si>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</si>
  <si>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</si>
  <si>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</si>
  <si>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</si>
  <si>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</si>
  <si>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</si>
  <si>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</si>
  <si>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</si>
  <si>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</si>
  <si>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</si>
  <si>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</si>
  <si>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</si>
  <si>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</si>
  <si>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</si>
  <si>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</si>
  <si>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</si>
  <si>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</si>
  <si>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</si>
  <si>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</si>
  <si>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</si>
  <si>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</si>
  <si>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</si>
  <si>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</si>
  <si>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</si>
  <si>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</si>
  <si>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</si>
  <si>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</si>
  <si>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</si>
  <si>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</si>
  <si>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</si>
  <si>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</si>
  <si>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</si>
  <si>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</si>
  <si>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</si>
  <si>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</si>
  <si>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</si>
  <si>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</si>
  <si>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</si>
  <si>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</si>
  <si>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</si>
  <si>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</si>
  <si>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</si>
  <si>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</si>
  <si>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</si>
  <si>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</si>
  <si>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</si>
  <si>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</si>
  <si>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</si>
  <si>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</si>
  <si>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</si>
  <si>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</si>
  <si>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</si>
  <si>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</si>
  <si>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</si>
  <si>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</si>
  <si>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</si>
  <si>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</si>
  <si>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</si>
  <si>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</si>
  <si>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</si>
  <si>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</si>
  <si>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</si>
  <si>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</si>
  <si>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</si>
  <si>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</si>
  <si>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</si>
  <si>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</si>
  <si>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</si>
  <si>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</si>
  <si>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</si>
  <si>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</si>
  <si>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</si>
  <si>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</si>
  <si>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</si>
  <si>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</si>
  <si>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</si>
  <si>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</si>
  <si>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</si>
  <si>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</si>
  <si>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</si>
  <si>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</si>
  <si>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</si>
  <si>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</si>
  <si>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</si>
  <si>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</si>
  <si>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</si>
  <si>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</si>
  <si>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</si>
  <si>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</si>
  <si>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</si>
  <si>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</si>
  <si>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</si>
  <si>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</si>
  <si>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</si>
  <si>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</si>
  <si>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</si>
  <si>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</si>
  <si>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</si>
  <si>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</si>
  <si>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</si>
  <si>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</si>
  <si>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</si>
  <si>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</si>
  <si>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</si>
  <si>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</si>
  <si>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</si>
  <si>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</si>
  <si>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</si>
  <si>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</si>
  <si>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</si>
  <si>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</si>
  <si>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</si>
  <si>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</si>
  <si>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</si>
  <si>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</si>
  <si>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</si>
  <si>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</si>
  <si>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</si>
  <si>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</si>
  <si>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</si>
  <si>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</si>
  <si>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</si>
  <si>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</si>
  <si>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</si>
  <si>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</si>
  <si>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</si>
  <si>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</si>
  <si>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</si>
  <si>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</si>
  <si>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</si>
  <si>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</si>
  <si>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</si>
  <si>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</si>
  <si>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</si>
  <si>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</si>
  <si>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</si>
  <si>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</si>
  <si>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</si>
  <si>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</si>
  <si>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</si>
  <si>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</si>
  <si>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</si>
  <si>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</si>
  <si>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</si>
  <si>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</si>
  <si>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</si>
  <si>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</si>
  <si>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</si>
  <si>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</si>
  <si>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</si>
  <si>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</si>
  <si>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</si>
  <si>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</si>
  <si>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</si>
  <si>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</si>
  <si>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</si>
  <si>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</si>
  <si>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</si>
  <si>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</si>
  <si>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</si>
  <si>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</si>
  <si>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</si>
  <si>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</si>
  <si>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</si>
  <si>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</si>
  <si>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</si>
  <si>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</si>
  <si>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</si>
  <si>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</si>
  <si>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</si>
  <si>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</si>
  <si>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</si>
  <si>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</si>
  <si>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</si>
  <si>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</si>
  <si>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</si>
  <si>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</si>
  <si>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</si>
  <si>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</si>
  <si>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</si>
  <si>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</si>
  <si>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</si>
  <si>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</si>
  <si>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</si>
  <si>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</si>
  <si>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</si>
  <si>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</si>
  <si>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</si>
  <si>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</si>
  <si>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</si>
  <si>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</si>
  <si>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</si>
  <si>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</si>
  <si>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</si>
  <si>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</si>
  <si>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</si>
  <si>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</si>
  <si>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</si>
  <si>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</si>
  <si>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</si>
  <si>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</si>
  <si>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</si>
  <si>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</si>
  <si>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</si>
  <si>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</si>
  <si>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</si>
  <si>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</si>
  <si>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</si>
  <si>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</si>
  <si>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</si>
  <si>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</si>
  <si>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</si>
  <si>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</si>
  <si>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</si>
  <si>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</si>
  <si>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</si>
  <si>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</si>
  <si>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</si>
  <si>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</si>
  <si>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</si>
  <si>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</si>
  <si>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</si>
  <si>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</si>
  <si>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</si>
  <si>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</si>
  <si>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</si>
  <si>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</si>
  <si>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</si>
  <si>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</si>
  <si>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</si>
  <si>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</si>
  <si>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</si>
  <si>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</si>
  <si>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</si>
  <si>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</si>
  <si>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</si>
  <si>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</si>
  <si>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</si>
  <si>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</si>
  <si>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</si>
  <si>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</si>
  <si>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</si>
  <si>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</si>
  <si>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</si>
  <si>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</si>
  <si>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</si>
  <si>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</si>
  <si>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</si>
  <si>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</si>
  <si>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</si>
  <si>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</si>
  <si>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</si>
  <si>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</si>
  <si>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</si>
  <si>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</si>
  <si>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</si>
  <si>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</si>
  <si>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</si>
  <si>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</si>
  <si>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</si>
  <si>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</si>
  <si>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</si>
  <si>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</si>
  <si>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</si>
  <si>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</si>
  <si>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</si>
  <si>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</si>
  <si>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</si>
  <si>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</si>
  <si>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</si>
  <si>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</si>
  <si>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</si>
  <si>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</si>
  <si>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</si>
  <si>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</si>
  <si>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</si>
  <si>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</si>
  <si>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</si>
  <si>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</si>
  <si>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</si>
  <si>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</si>
  <si>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</si>
  <si>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</si>
  <si>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</si>
  <si>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</si>
  <si>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</si>
  <si>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</si>
  <si>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</si>
  <si>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</si>
  <si>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</si>
  <si>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</si>
  <si>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</si>
  <si>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</si>
  <si>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</si>
  <si>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</si>
  <si>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</si>
  <si>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</si>
  <si>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</si>
  <si>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</si>
  <si>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</si>
  <si>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</si>
  <si>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</si>
  <si>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</si>
  <si>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</si>
  <si>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</si>
  <si>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</si>
  <si>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</si>
  <si>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</si>
  <si>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</si>
  <si>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</si>
  <si>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</si>
  <si>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</si>
  <si>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</si>
  <si>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</si>
  <si>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</si>
  <si>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</si>
  <si>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</si>
  <si>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</si>
  <si>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</si>
  <si>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</si>
  <si>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</si>
  <si>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</si>
  <si>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</si>
  <si>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</si>
  <si>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</si>
  <si>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</si>
  <si>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</si>
  <si>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</si>
  <si>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</si>
  <si>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</si>
  <si>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</si>
  <si>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</si>
  <si>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</si>
  <si>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</si>
  <si>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</si>
  <si>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</si>
  <si>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</si>
  <si>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</si>
  <si>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</si>
  <si>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</si>
  <si>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</si>
  <si>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</si>
  <si>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</si>
  <si>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</si>
  <si>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</si>
  <si>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</si>
  <si>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</si>
  <si>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</si>
  <si>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</si>
  <si>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</si>
  <si>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</si>
  <si>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</si>
  <si>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</si>
  <si>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</si>
  <si>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</si>
  <si>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</si>
  <si>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</si>
  <si>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</si>
  <si>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</si>
  <si>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</si>
  <si>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</si>
  <si>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</si>
  <si>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</si>
  <si>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</si>
  <si>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</si>
  <si>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</si>
  <si>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</si>
  <si>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</si>
  <si>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</si>
  <si>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</si>
  <si>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</si>
  <si>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</si>
  <si>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</si>
  <si>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</si>
  <si>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</si>
  <si>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</si>
  <si>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</si>
  <si>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</si>
  <si>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</si>
  <si>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</si>
  <si>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</si>
  <si>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</si>
  <si>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</si>
  <si>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</si>
  <si>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</si>
  <si>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</si>
  <si>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</si>
  <si>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</si>
  <si>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</si>
  <si>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</si>
  <si>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</si>
  <si>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</si>
  <si>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</si>
  <si>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</si>
  <si>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</si>
  <si>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</si>
  <si>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</si>
  <si>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</si>
  <si>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</si>
  <si>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</si>
  <si>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</si>
  <si>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</si>
  <si>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</si>
  <si>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</si>
  <si>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</si>
  <si>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</si>
  <si>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</si>
  <si>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</si>
  <si>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</si>
  <si>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</si>
  <si>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</si>
  <si>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</si>
  <si>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</si>
  <si>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</si>
  <si>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</si>
  <si>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</si>
  <si>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</si>
  <si>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</si>
  <si>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</si>
  <si>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</si>
  <si>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</si>
  <si>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</si>
  <si>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</si>
  <si>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</si>
  <si>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</si>
  <si>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</si>
  <si>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</si>
  <si>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</si>
  <si>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</si>
  <si>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</si>
  <si>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</si>
  <si>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</si>
  <si>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</si>
  <si>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</si>
  <si>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</si>
  <si>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</si>
  <si>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</si>
  <si>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</si>
  <si>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</si>
  <si>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</si>
  <si>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</si>
  <si>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</si>
  <si>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</si>
  <si>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</si>
  <si>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</si>
  <si>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</si>
  <si>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</si>
  <si>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</si>
  <si>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</si>
  <si>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</si>
  <si>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</si>
  <si>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</si>
  <si>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</si>
  <si>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</si>
  <si>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</si>
  <si>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</si>
  <si>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</si>
  <si>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</si>
  <si>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</si>
  <si>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</si>
  <si>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</si>
  <si>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</si>
  <si>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</si>
  <si>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</si>
  <si>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</si>
  <si>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</si>
  <si>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</si>
  <si>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</si>
  <si>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</si>
  <si>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</si>
  <si>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</si>
  <si>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</si>
  <si>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</si>
  <si>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</si>
  <si>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</si>
  <si>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</si>
  <si>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</si>
  <si>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</si>
  <si>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</si>
  <si>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</si>
  <si>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</si>
  <si>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</si>
  <si>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</si>
  <si>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</si>
  <si>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</si>
  <si>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</si>
  <si>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</si>
  <si>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</si>
  <si>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</si>
  <si>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</si>
  <si>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</si>
  <si>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</si>
  <si>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</si>
  <si>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</si>
  <si>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</si>
  <si>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</si>
  <si>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</si>
  <si>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</si>
  <si>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</si>
  <si>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</si>
  <si>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</si>
  <si>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</si>
  <si>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</si>
  <si>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</si>
  <si>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</si>
  <si>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</si>
  <si>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</si>
  <si>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</si>
  <si>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</si>
  <si>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</si>
  <si>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</si>
  <si>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</si>
  <si>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</si>
  <si>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</si>
  <si>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</si>
  <si>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</si>
  <si>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</si>
  <si>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</si>
  <si>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</si>
  <si>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</si>
  <si>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</si>
  <si>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</si>
  <si>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</si>
  <si>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</si>
  <si>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</si>
  <si>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</si>
  <si>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</si>
  <si>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</si>
  <si>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</si>
  <si>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</si>
  <si>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</si>
  <si>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</si>
  <si>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</si>
  <si>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</si>
  <si>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</si>
  <si>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</si>
  <si>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</si>
  <si>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</si>
  <si>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</si>
  <si>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</si>
  <si>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</si>
  <si>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</si>
  <si>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</si>
  <si>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</si>
  <si>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</si>
  <si>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</si>
  <si>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</si>
  <si>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</si>
  <si>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</si>
  <si>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</si>
  <si>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</si>
  <si>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</si>
  <si>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</si>
  <si>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</si>
  <si>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</si>
  <si>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</si>
  <si>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</si>
  <si>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</si>
  <si>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</si>
  <si>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</si>
  <si>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</si>
  <si>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</si>
  <si>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</si>
  <si>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</si>
  <si>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</si>
  <si>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</si>
  <si>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</si>
  <si>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</si>
  <si>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</si>
  <si>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</si>
  <si>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</si>
  <si>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</si>
  <si>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</si>
  <si>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</si>
  <si>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</si>
  <si>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</si>
  <si>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</si>
  <si>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</si>
  <si>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</si>
  <si>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</si>
  <si>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</si>
  <si>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</si>
  <si>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</si>
  <si>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</si>
  <si>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</si>
  <si>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</si>
  <si>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</si>
  <si>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</si>
  <si>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</si>
  <si>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</si>
  <si>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</si>
  <si>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</si>
  <si>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</si>
  <si>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</si>
  <si>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</si>
  <si>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</si>
  <si>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</si>
  <si>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</si>
  <si>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</si>
  <si>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</si>
  <si>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</si>
  <si>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</si>
  <si>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</si>
  <si>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</si>
  <si>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</si>
  <si>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</si>
  <si>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</si>
  <si>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</si>
  <si>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</si>
  <si>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</si>
  <si>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</si>
  <si>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</si>
  <si>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</si>
  <si>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</si>
  <si>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</si>
  <si>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</si>
  <si>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</si>
  <si>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</si>
  <si>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</si>
  <si>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</si>
  <si>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</si>
  <si>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</si>
  <si>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</si>
  <si>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</si>
  <si>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</si>
  <si>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</si>
  <si>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</si>
  <si>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</si>
  <si>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</si>
  <si>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</si>
  <si>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</si>
  <si>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</si>
  <si>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</si>
  <si>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</si>
  <si>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</si>
  <si>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</si>
  <si>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</si>
  <si>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</si>
  <si>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</si>
  <si>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</si>
  <si>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</si>
  <si>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</si>
  <si>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</si>
  <si>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</si>
  <si>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</si>
  <si>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</si>
  <si>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</si>
  <si>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</si>
  <si>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</si>
  <si>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</si>
  <si>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</si>
  <si>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</si>
  <si>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</si>
  <si>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</si>
  <si>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</si>
  <si>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</si>
  <si>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</si>
  <si>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</si>
  <si>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</si>
  <si>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</si>
  <si>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</si>
  <si>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</si>
  <si>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</si>
  <si>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</si>
  <si>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</si>
  <si>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</si>
  <si>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</si>
  <si>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</si>
  <si>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</si>
  <si>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</si>
  <si>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</si>
  <si>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</si>
  <si>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</si>
  <si>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</si>
  <si>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</si>
  <si>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</si>
  <si>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</si>
  <si>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</si>
  <si>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</si>
  <si>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</si>
  <si>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</si>
  <si>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</si>
  <si>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</si>
  <si>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</si>
  <si>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</si>
  <si>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</si>
  <si>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</si>
  <si>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</si>
  <si>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</si>
  <si>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</si>
  <si>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</si>
  <si>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</si>
  <si>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</si>
  <si>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</si>
  <si>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</si>
  <si>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</si>
  <si>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</si>
  <si>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</si>
  <si>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</si>
  <si>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</si>
  <si>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</si>
  <si>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</si>
  <si>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</si>
  <si>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</si>
  <si>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</si>
  <si>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</si>
  <si>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</si>
  <si>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</si>
  <si>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</si>
  <si>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</si>
  <si>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</si>
  <si>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</si>
  <si>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</si>
  <si>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</si>
  <si>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</si>
  <si>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</si>
  <si>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</si>
  <si>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</si>
  <si>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</si>
  <si>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</si>
  <si>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</si>
  <si>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</si>
  <si>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</si>
  <si>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</si>
  <si>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</si>
  <si>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</si>
  <si>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</si>
  <si>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</si>
  <si>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</si>
  <si>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</si>
  <si>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</si>
  <si>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</si>
  <si>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</si>
  <si>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</si>
  <si>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</si>
  <si>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</si>
  <si>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</si>
  <si>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</si>
  <si>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</si>
  <si>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</si>
  <si>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</si>
  <si>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</si>
  <si>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</si>
  <si>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</si>
  <si>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</si>
  <si>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</si>
  <si>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</si>
  <si>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</si>
  <si>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</si>
  <si>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</si>
  <si>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</si>
  <si>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</si>
  <si>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</si>
  <si>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</si>
  <si>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</si>
  <si>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</si>
  <si>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</si>
  <si>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</si>
  <si>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</si>
  <si>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</si>
  <si>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</si>
  <si>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</si>
  <si>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</si>
  <si>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</si>
  <si>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</si>
  <si>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</si>
  <si>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</si>
  <si>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</si>
  <si>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</si>
  <si>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</si>
  <si>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</si>
  <si>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</si>
  <si>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</si>
  <si>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</si>
  <si>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</si>
  <si>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</si>
  <si>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</si>
  <si>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</si>
  <si>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</si>
  <si>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</si>
  <si>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</si>
  <si>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</si>
  <si>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</si>
  <si>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</si>
  <si>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</si>
  <si>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</si>
  <si>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</si>
  <si>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</si>
  <si>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</si>
  <si>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</si>
  <si>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</si>
  <si>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</si>
  <si>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</si>
  <si>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</si>
  <si>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</si>
  <si>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</si>
  <si>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</si>
  <si>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</si>
  <si>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</si>
  <si>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</si>
  <si>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</si>
  <si>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</si>
  <si>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</si>
  <si>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</si>
  <si>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</si>
  <si>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</si>
  <si>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</si>
  <si>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</si>
  <si>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</si>
  <si>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</si>
  <si>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</si>
  <si>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</si>
  <si>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</si>
  <si>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</si>
  <si>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</si>
  <si>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</si>
  <si>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</si>
  <si>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</si>
  <si>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</si>
  <si>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</si>
  <si>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</si>
  <si>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</si>
  <si>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</si>
  <si>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</si>
  <si>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</si>
  <si>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</si>
  <si>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</si>
  <si>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</si>
  <si>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</si>
  <si>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</si>
  <si>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</si>
  <si>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</si>
  <si>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</si>
  <si>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</si>
  <si>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</si>
  <si>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</si>
  <si>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</si>
  <si>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</si>
  <si>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</si>
  <si>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</si>
  <si>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</si>
  <si>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</si>
  <si>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</si>
  <si>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</si>
  <si>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</si>
  <si>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</si>
  <si>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</si>
  <si>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</si>
  <si>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</si>
  <si>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</si>
  <si>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</si>
  <si>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</si>
  <si>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</si>
  <si>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</si>
  <si>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</si>
  <si>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</si>
  <si>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</si>
  <si>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</si>
  <si>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</si>
  <si>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</si>
  <si>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</si>
  <si>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</si>
  <si>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</si>
  <si>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</si>
  <si>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</si>
  <si>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</si>
  <si>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</si>
  <si>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</si>
  <si>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</si>
  <si>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</si>
  <si>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</si>
  <si>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</si>
  <si>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</si>
  <si>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</si>
  <si>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</si>
  <si>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</si>
  <si>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</si>
  <si>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</si>
  <si>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</si>
  <si>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</si>
  <si>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</si>
  <si>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</si>
  <si>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</si>
  <si>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</si>
  <si>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</si>
  <si>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</si>
  <si>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</si>
  <si>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</si>
  <si>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</si>
  <si>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</si>
  <si>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</si>
  <si>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</si>
  <si>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</si>
  <si>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</si>
  <si>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</si>
  <si>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</si>
  <si>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</si>
  <si>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</si>
  <si>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</si>
  <si>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</si>
  <si>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</si>
  <si>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</si>
  <si>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</si>
  <si>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</si>
  <si>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</si>
  <si>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</si>
  <si>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</si>
  <si>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</si>
  <si>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</si>
  <si>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</si>
  <si>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</si>
  <si>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</si>
  <si>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</si>
  <si>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</si>
  <si>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</si>
  <si>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</si>
  <si>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</si>
  <si>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</si>
  <si>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</si>
  <si>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</si>
  <si>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</si>
  <si>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</si>
  <si>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</si>
  <si>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</si>
  <si>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</si>
  <si>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</si>
  <si>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</si>
  <si>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</si>
  <si>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</si>
  <si>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</si>
  <si>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</si>
  <si>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</si>
  <si>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</si>
  <si>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</si>
  <si>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</si>
  <si>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</si>
  <si>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</si>
  <si>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</si>
  <si>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</si>
  <si>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</si>
  <si>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</si>
  <si>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</si>
  <si>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</si>
  <si>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</si>
  <si>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</si>
  <si>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</si>
  <si>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</si>
  <si>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</si>
  <si>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</si>
  <si>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</si>
  <si>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</si>
  <si>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</si>
  <si>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</si>
  <si>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</si>
  <si>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</si>
  <si>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</si>
  <si>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</si>
  <si>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</si>
  <si>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</si>
  <si>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</si>
  <si>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</si>
  <si>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</si>
  <si>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</si>
  <si>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</si>
  <si>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</si>
  <si>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</si>
  <si>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</si>
  <si>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</si>
  <si>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</si>
  <si>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</si>
  <si>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</si>
  <si>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</si>
  <si>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</si>
  <si>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</si>
  <si>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</si>
  <si>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</si>
  <si>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</si>
  <si>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</si>
  <si>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</si>
  <si>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</si>
  <si>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</si>
  <si>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</si>
  <si>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</si>
  <si>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</si>
  <si>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</si>
  <si>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</si>
  <si>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</si>
  <si>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</si>
  <si>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</si>
  <si>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</si>
  <si>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</si>
  <si>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</si>
  <si>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</si>
  <si>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</si>
  <si>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</si>
  <si>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</si>
  <si>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</si>
  <si>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</si>
  <si>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</si>
  <si>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</si>
  <si>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</si>
  <si>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</si>
  <si>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</si>
  <si>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</si>
  <si>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</si>
  <si>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</si>
  <si>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</si>
  <si>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</si>
  <si>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</si>
  <si>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</si>
  <si>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</si>
  <si>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</si>
  <si>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</si>
  <si>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</si>
  <si>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</si>
  <si>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</si>
  <si>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</si>
  <si>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</si>
  <si>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</si>
  <si>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</si>
  <si>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</si>
  <si>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</si>
  <si>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</si>
  <si>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</si>
  <si>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</si>
  <si>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</si>
  <si>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</si>
  <si>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</si>
  <si>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</si>
  <si>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</si>
  <si>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</si>
  <si>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</si>
  <si>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</si>
  <si>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</si>
  <si>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</si>
  <si>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</si>
  <si>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</si>
  <si>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</si>
  <si>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</si>
  <si>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</si>
  <si>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</si>
  <si>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</si>
  <si>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</si>
  <si>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</si>
  <si>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</si>
  <si>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</si>
  <si>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</si>
  <si>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</si>
  <si>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</si>
  <si>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</si>
  <si>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</si>
  <si>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</si>
  <si>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</si>
  <si>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</si>
  <si>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</si>
  <si>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</si>
  <si>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</si>
  <si>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</si>
  <si>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</si>
  <si>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</si>
  <si>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</si>
  <si>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</si>
  <si>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</si>
  <si>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</si>
  <si>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</si>
  <si>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</si>
  <si>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</si>
  <si>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</si>
  <si>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</si>
  <si>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</si>
  <si>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</si>
  <si>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</si>
  <si>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</si>
  <si>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</si>
  <si>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</si>
  <si>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</si>
  <si>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</si>
  <si>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</si>
  <si>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</si>
  <si>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</si>
  <si>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</si>
  <si>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</si>
  <si>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</si>
  <si>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</si>
  <si>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</si>
  <si>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</si>
  <si>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</si>
  <si>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</si>
  <si>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</si>
  <si>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</si>
  <si>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</si>
  <si>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</si>
  <si>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</si>
  <si>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</si>
  <si>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</si>
  <si>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</si>
  <si>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</si>
  <si>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</si>
  <si>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</si>
  <si>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</si>
  <si>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</si>
  <si>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</si>
  <si>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</si>
  <si>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</si>
  <si>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</si>
  <si>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</si>
  <si>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</si>
  <si>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</si>
  <si>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</si>
  <si>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</si>
  <si>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</si>
  <si>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</si>
  <si>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</si>
  <si>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</si>
  <si>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</si>
  <si>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</si>
  <si>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</si>
  <si>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</si>
  <si>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</si>
  <si>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</si>
  <si>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</si>
  <si>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</si>
  <si>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</si>
  <si>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</si>
  <si>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</si>
  <si>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</si>
  <si>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</si>
  <si>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</si>
  <si>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</si>
  <si>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</si>
  <si>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</si>
  <si>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</si>
  <si>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</si>
  <si>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</si>
  <si>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</si>
  <si>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</si>
  <si>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</si>
  <si>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</si>
  <si>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</si>
  <si>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</si>
  <si>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</si>
  <si>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</si>
  <si>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</si>
  <si>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</si>
  <si>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</si>
  <si>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</si>
  <si>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</si>
  <si>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</si>
  <si>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</si>
  <si>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</si>
  <si>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</si>
  <si>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</si>
  <si>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</si>
  <si>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</si>
  <si>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</si>
  <si>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</si>
  <si>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</si>
  <si>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</si>
  <si>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</si>
  <si>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</si>
  <si>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</si>
  <si>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</si>
  <si>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</si>
  <si>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</si>
  <si>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</si>
  <si>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</si>
  <si>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</si>
  <si>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</si>
  <si>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</si>
  <si>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</si>
  <si>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</si>
  <si>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</si>
  <si>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</si>
  <si>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</si>
  <si>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</si>
  <si>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</si>
  <si>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</si>
  <si>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</si>
  <si>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</si>
  <si>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</si>
  <si>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</si>
  <si>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</si>
  <si>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</si>
  <si>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</si>
  <si>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</si>
  <si>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</si>
  <si>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</si>
  <si>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</si>
  <si>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</si>
  <si>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</si>
  <si>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</si>
  <si>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</si>
  <si>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</si>
  <si>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</si>
  <si>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</si>
  <si>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</si>
  <si>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</si>
  <si>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</si>
  <si>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</si>
  <si>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</si>
  <si>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</si>
  <si>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</si>
  <si>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</si>
  <si>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</si>
  <si>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</si>
  <si>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</si>
  <si>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</si>
  <si>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</si>
  <si>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</si>
  <si>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</si>
  <si>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</si>
  <si>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</si>
  <si>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</si>
  <si>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</si>
  <si>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</si>
  <si>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</si>
  <si>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</si>
  <si>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</si>
  <si>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</si>
  <si>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</si>
  <si>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</si>
  <si>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</si>
  <si>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</si>
  <si>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</si>
  <si>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</si>
  <si>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</si>
  <si>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</si>
  <si>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</si>
  <si>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</si>
  <si>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</si>
  <si>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</si>
  <si>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</si>
  <si>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</si>
  <si>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</si>
  <si>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</si>
  <si>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</si>
  <si>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</si>
  <si>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</si>
  <si>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</si>
  <si>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</si>
  <si>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</si>
  <si>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</si>
  <si>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</si>
  <si>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</si>
  <si>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</si>
  <si>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</si>
  <si>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</si>
  <si>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</si>
  <si>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</si>
  <si>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</si>
  <si>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</si>
  <si>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</si>
  <si>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</si>
  <si>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</si>
  <si>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</si>
  <si>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</si>
  <si>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</si>
  <si>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</si>
  <si>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</si>
  <si>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</si>
  <si>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</si>
  <si>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</si>
  <si>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</si>
  <si>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</si>
  <si>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</si>
  <si>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</si>
  <si>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</si>
  <si>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</si>
  <si>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</si>
  <si>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</si>
  <si>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</si>
  <si>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</si>
  <si>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</si>
  <si>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</si>
  <si>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</si>
  <si>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</si>
  <si>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</si>
  <si>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</si>
  <si>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</si>
  <si>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</si>
  <si>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</si>
  <si>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</si>
  <si>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</si>
  <si>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</si>
  <si>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</si>
  <si>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</si>
  <si>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</si>
  <si>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</si>
  <si>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</si>
  <si>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</si>
  <si>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</si>
  <si>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</si>
  <si>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</si>
  <si>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</si>
  <si>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</si>
  <si>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</si>
  <si>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</si>
  <si>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</si>
  <si>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</si>
  <si>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</si>
  <si>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</si>
  <si>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</si>
  <si>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</si>
  <si>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</si>
  <si>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</si>
  <si>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</si>
  <si>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</si>
  <si>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</si>
  <si>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</si>
  <si>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</si>
  <si>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</si>
  <si>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</si>
  <si>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</si>
  <si>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</si>
  <si>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</si>
  <si>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</si>
  <si>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</si>
  <si>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</si>
  <si>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</si>
  <si>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</si>
  <si>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</si>
  <si>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</si>
  <si>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</si>
  <si>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</si>
  <si>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</si>
  <si>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</si>
  <si>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</si>
  <si>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</si>
  <si>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</si>
  <si>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</si>
  <si>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</si>
  <si>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</si>
  <si>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</si>
  <si>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</si>
  <si>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</si>
  <si>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</si>
  <si>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</si>
  <si>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</si>
  <si>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</si>
  <si>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</si>
  <si>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</si>
  <si>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</si>
  <si>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</si>
  <si>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</si>
  <si>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</si>
  <si>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</si>
  <si>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</si>
  <si>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</si>
  <si>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</si>
  <si>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</si>
  <si>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</si>
  <si>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</si>
  <si>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</si>
  <si>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</si>
  <si>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</si>
  <si>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</si>
  <si>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</si>
  <si>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</si>
  <si>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</si>
  <si>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</si>
  <si>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</si>
  <si>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</si>
  <si>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</si>
  <si>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</si>
  <si>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</si>
  <si>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</si>
  <si>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</si>
  <si>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</si>
  <si>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</si>
  <si>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</si>
  <si>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</si>
  <si>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</si>
  <si>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</si>
  <si>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</si>
  <si>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</si>
  <si>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</si>
  <si>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</si>
  <si>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</si>
  <si>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</si>
  <si>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</si>
  <si>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</si>
  <si>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</si>
  <si>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</si>
  <si>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</si>
  <si>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</si>
  <si>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</si>
  <si>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</si>
  <si>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</si>
  <si>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</si>
  <si>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</si>
  <si>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</si>
  <si>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</si>
  <si>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</si>
  <si>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</si>
  <si>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</si>
  <si>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</si>
  <si>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</si>
  <si>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</si>
  <si>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</si>
  <si>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</si>
  <si>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</si>
  <si>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</si>
  <si>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</si>
  <si>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</si>
  <si>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</si>
  <si>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</si>
  <si>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</si>
  <si>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</si>
  <si>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</si>
  <si>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</si>
  <si>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</si>
  <si>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</si>
  <si>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</si>
  <si>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</si>
  <si>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</si>
  <si>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</si>
  <si>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</si>
  <si>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</si>
  <si>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</si>
  <si>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</si>
  <si>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</si>
  <si>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</si>
  <si>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</si>
  <si>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</si>
  <si>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</si>
  <si>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</si>
  <si>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</si>
  <si>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</si>
  <si>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</si>
  <si>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</si>
  <si>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</si>
  <si>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</si>
  <si>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</si>
  <si>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</si>
  <si>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</si>
  <si>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</si>
  <si>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</si>
  <si>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</si>
  <si>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</si>
  <si>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</si>
  <si>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</si>
  <si>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</si>
  <si>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</si>
  <si>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</si>
  <si>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</si>
  <si>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</si>
  <si>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</si>
  <si>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</si>
  <si>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</si>
  <si>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</si>
  <si>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</si>
  <si>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</si>
  <si>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</si>
  <si>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</si>
  <si>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</si>
  <si>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</si>
  <si>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</si>
  <si>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</si>
  <si>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</si>
  <si>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</si>
  <si>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</si>
  <si>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</si>
  <si>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</si>
  <si>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</si>
  <si>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</si>
  <si>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</si>
  <si>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</si>
  <si>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</si>
  <si>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</si>
  <si>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</si>
  <si>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</si>
  <si>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</si>
  <si>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</si>
  <si>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</si>
  <si>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</si>
  <si>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</si>
  <si>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</si>
  <si>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</si>
  <si>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</si>
  <si>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</si>
  <si>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</si>
  <si>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</si>
  <si>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</si>
  <si>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</si>
  <si>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</si>
  <si>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</si>
  <si>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</si>
  <si>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</si>
  <si>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</si>
  <si>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</si>
  <si>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</si>
  <si>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</si>
  <si>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</si>
  <si>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</si>
  <si>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</si>
  <si>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</si>
  <si>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</si>
  <si>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</si>
  <si>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</si>
  <si>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</si>
  <si>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</si>
  <si>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</si>
  <si>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</si>
  <si>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</si>
  <si>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</si>
  <si>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</si>
  <si>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</si>
  <si>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</si>
  <si>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</si>
  <si>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</si>
  <si>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</si>
  <si>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</si>
  <si>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</si>
  <si>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</si>
  <si>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</si>
  <si>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</si>
  <si>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</si>
  <si>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</si>
  <si>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</si>
  <si>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</si>
  <si>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</si>
  <si>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</si>
  <si>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</si>
  <si>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</si>
  <si>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</si>
  <si>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</si>
  <si>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</si>
  <si>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</si>
  <si>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</si>
  <si>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</si>
  <si>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</si>
  <si>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</si>
  <si>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</si>
  <si>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</si>
  <si>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</si>
  <si>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</si>
  <si>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</si>
  <si>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</si>
  <si>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</si>
  <si>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</si>
  <si>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</si>
  <si>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</si>
  <si>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</si>
  <si>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</si>
  <si>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</si>
  <si>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</si>
  <si>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</si>
  <si>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</si>
  <si>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</si>
  <si>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</si>
  <si>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</si>
  <si>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</si>
  <si>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</si>
  <si>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</si>
  <si>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</si>
  <si>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</si>
  <si>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</si>
  <si>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</si>
  <si>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</si>
  <si>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</si>
  <si>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</si>
  <si>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</si>
  <si>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</si>
  <si>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</si>
  <si>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</si>
  <si>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</si>
  <si>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</si>
  <si>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</si>
  <si>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</si>
  <si>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</si>
  <si>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</si>
  <si>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</si>
  <si>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</si>
  <si>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</si>
  <si>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</si>
  <si>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</si>
  <si>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</si>
  <si>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</si>
  <si>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</si>
  <si>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</si>
  <si>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</si>
  <si>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</si>
  <si>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</si>
  <si>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</si>
  <si>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</si>
  <si>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</si>
  <si>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</si>
  <si>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</si>
  <si>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</si>
  <si>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</si>
  <si>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</si>
  <si>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</si>
  <si>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</si>
  <si>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</si>
  <si>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</si>
  <si>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</si>
  <si>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</si>
  <si>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</si>
  <si>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</si>
  <si>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</si>
  <si>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</si>
  <si>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</si>
  <si>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</si>
  <si>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</si>
  <si>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</si>
  <si>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</si>
  <si>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</si>
  <si>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</si>
  <si>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</si>
  <si>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</si>
  <si>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</si>
  <si>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</si>
  <si>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</si>
  <si>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</si>
  <si>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</si>
  <si>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</si>
  <si>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</si>
  <si>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</si>
  <si>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</si>
  <si>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</si>
  <si>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</si>
  <si>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</si>
  <si>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</si>
  <si>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</si>
  <si>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</si>
  <si>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</si>
  <si>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</si>
  <si>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</si>
  <si>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</si>
  <si>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</si>
  <si>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</si>
  <si>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</si>
  <si>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</si>
  <si>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</si>
  <si>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</si>
  <si>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</si>
  <si>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</si>
  <si>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</si>
  <si>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</si>
  <si>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</si>
  <si>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</si>
  <si>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</si>
  <si>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</si>
  <si>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</si>
  <si>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</si>
  <si>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</si>
  <si>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</si>
  <si>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</si>
  <si>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</si>
  <si>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</si>
  <si>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</si>
  <si>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</si>
  <si>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</si>
  <si>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</si>
  <si>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</si>
  <si>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</si>
  <si>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</si>
  <si>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</si>
  <si>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</si>
  <si>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</si>
  <si>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</si>
  <si>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</si>
  <si>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</si>
  <si>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</si>
  <si>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</si>
  <si>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</si>
  <si>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</si>
  <si>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</si>
  <si>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</si>
  <si>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</si>
  <si>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</si>
  <si>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</si>
  <si>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</si>
  <si>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</si>
  <si>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</si>
  <si>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</si>
  <si>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</si>
  <si>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</si>
  <si>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</si>
  <si>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</si>
  <si>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</si>
  <si>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</si>
  <si>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</si>
  <si>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</si>
  <si>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</si>
  <si>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</si>
  <si>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</si>
  <si>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</si>
  <si>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</si>
  <si>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</si>
  <si>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</si>
  <si>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</si>
  <si>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</si>
  <si>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</si>
  <si>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</si>
  <si>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</si>
  <si>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</si>
  <si>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</si>
  <si>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</si>
  <si>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</si>
  <si>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</si>
  <si>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</si>
  <si>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</si>
  <si>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</si>
  <si>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</si>
  <si>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</si>
  <si>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</si>
  <si>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</si>
  <si>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</si>
  <si>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</si>
  <si>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</si>
  <si>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</si>
  <si>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</si>
  <si>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</si>
  <si>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</si>
  <si>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</si>
  <si>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</si>
  <si>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</si>
  <si>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</si>
  <si>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</si>
  <si>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</si>
  <si>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</si>
  <si>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</si>
  <si>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</si>
  <si>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</si>
  <si>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</si>
  <si>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</si>
  <si>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</si>
  <si>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</si>
  <si>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</si>
  <si>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</si>
  <si>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</si>
  <si>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</si>
  <si>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</si>
  <si>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</si>
  <si>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</si>
  <si>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</si>
  <si>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</si>
  <si>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</si>
  <si>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</si>
  <si>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</si>
  <si>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</si>
  <si>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</si>
  <si>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</si>
  <si>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</si>
  <si>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</si>
  <si>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</si>
  <si>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</si>
  <si>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</si>
  <si>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</si>
  <si>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</si>
  <si>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</si>
  <si>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</si>
  <si>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</si>
  <si>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</si>
  <si>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</si>
  <si>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</si>
  <si>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</si>
  <si>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</si>
  <si>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</si>
  <si>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</si>
  <si>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</si>
  <si>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</si>
  <si>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</si>
  <si>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</si>
  <si>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</si>
  <si>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</si>
  <si>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</si>
  <si>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</si>
  <si>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</si>
  <si>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</si>
  <si>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</si>
  <si>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</si>
  <si>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</si>
  <si>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</si>
  <si>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</si>
  <si>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</si>
  <si>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</si>
  <si>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</si>
  <si>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</si>
  <si>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</si>
  <si>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</si>
  <si>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</si>
  <si>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</si>
  <si>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</si>
  <si>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</si>
  <si>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</si>
  <si>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</si>
  <si>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</si>
  <si>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</si>
  <si>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</si>
  <si>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</si>
  <si>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</si>
  <si>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</si>
  <si>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</si>
  <si>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</si>
  <si>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</si>
  <si>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</si>
  <si>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</si>
  <si>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</si>
  <si>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</si>
  <si>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</si>
  <si>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</si>
  <si>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</si>
  <si>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</si>
  <si>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</si>
  <si>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</si>
  <si>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</si>
  <si>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</si>
  <si>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</si>
  <si>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</si>
  <si>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</si>
  <si>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</si>
  <si>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</si>
  <si>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</si>
  <si>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</si>
  <si>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</si>
  <si>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</si>
  <si>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</si>
  <si>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</si>
  <si>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</si>
  <si>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</si>
  <si>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</si>
  <si>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</si>
  <si>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</si>
  <si>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</si>
  <si>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</si>
  <si>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</si>
  <si>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</si>
  <si>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</si>
  <si>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</si>
  <si>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</si>
  <si>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</si>
  <si>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</si>
  <si>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</si>
  <si>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</si>
  <si>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</si>
  <si>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</si>
  <si>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</si>
  <si>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</si>
  <si>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</si>
  <si>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</si>
  <si>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</si>
  <si>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</si>
  <si>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</si>
  <si>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</si>
  <si>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</si>
  <si>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</si>
  <si>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</si>
  <si>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</si>
  <si>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</si>
  <si>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</si>
  <si>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</si>
  <si>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</si>
  <si>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</si>
  <si>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</si>
  <si>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</si>
  <si>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</si>
  <si>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</si>
  <si>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</si>
  <si>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</si>
  <si>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</si>
  <si>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</si>
  <si>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</si>
  <si>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</si>
  <si>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</si>
  <si>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</si>
  <si>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</si>
  <si>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</si>
  <si>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</si>
  <si>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</si>
  <si>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</si>
  <si>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</si>
  <si>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</si>
  <si>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</si>
  <si>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</si>
  <si>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</si>
  <si>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</si>
  <si>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</si>
  <si>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</si>
  <si>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</si>
  <si>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</si>
  <si>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</si>
  <si>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</si>
  <si>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</si>
  <si>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</si>
  <si>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</si>
  <si>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</si>
  <si>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</si>
  <si>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</si>
  <si>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</si>
  <si>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</si>
  <si>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</si>
  <si>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</si>
  <si>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</si>
  <si>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</si>
  <si>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</si>
  <si>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</si>
  <si>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</si>
  <si>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</si>
  <si>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</si>
  <si>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</si>
  <si>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</si>
  <si>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</si>
  <si>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</si>
  <si>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</si>
  <si>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</si>
  <si>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</si>
  <si>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</si>
  <si>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</si>
  <si>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</si>
  <si>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</si>
  <si>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</si>
  <si>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</si>
  <si>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</si>
  <si>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</si>
  <si>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</si>
  <si>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</si>
  <si>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</si>
  <si>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</si>
  <si>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</si>
  <si>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</si>
  <si>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</si>
  <si>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</si>
  <si>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</si>
  <si>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</si>
  <si>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</si>
  <si>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</si>
  <si>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</si>
  <si>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</si>
  <si>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</si>
  <si>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</si>
  <si>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</si>
  <si>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</si>
  <si>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</si>
  <si>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</si>
  <si>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</si>
  <si>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</si>
  <si>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</si>
  <si>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</si>
  <si>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</si>
  <si>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</si>
  <si>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</si>
  <si>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</si>
  <si>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</si>
  <si>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</si>
  <si>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</si>
  <si>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</si>
  <si>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</si>
  <si>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</si>
  <si>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</si>
  <si>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</si>
  <si>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</si>
  <si>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</si>
  <si>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</si>
  <si>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</si>
  <si>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</si>
  <si>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</si>
  <si>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</si>
  <si>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</si>
  <si>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</si>
  <si>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</si>
  <si>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</si>
  <si>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</si>
  <si>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</si>
  <si>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</si>
  <si>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</si>
  <si>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</si>
  <si>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</si>
  <si>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</si>
  <si>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</si>
  <si>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</si>
  <si>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</si>
  <si>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</si>
  <si>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</si>
  <si>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</si>
  <si>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</si>
  <si>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</si>
  <si>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</si>
  <si>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</si>
  <si>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</si>
  <si>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</si>
  <si>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</si>
  <si>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</si>
  <si>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</si>
  <si>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</si>
  <si>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</si>
  <si>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</si>
  <si>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</si>
  <si>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</si>
  <si>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</si>
  <si>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</si>
  <si>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</si>
  <si>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</si>
  <si>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</si>
  <si>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</si>
  <si>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</si>
  <si>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</si>
  <si>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</si>
  <si>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</si>
  <si>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</si>
  <si>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</si>
  <si>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</si>
  <si>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</si>
  <si>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</si>
  <si>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</si>
  <si>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</si>
  <si>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</si>
  <si>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</si>
  <si>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</si>
  <si>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</si>
  <si>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</si>
  <si>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</si>
  <si>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</si>
  <si>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</si>
  <si>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</si>
  <si>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</si>
  <si>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</si>
  <si>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</si>
  <si>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</si>
  <si>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</si>
  <si>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</si>
  <si>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</si>
  <si>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</si>
  <si>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</si>
  <si>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</si>
  <si>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</si>
  <si>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</si>
  <si>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</si>
  <si>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</si>
  <si>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</si>
  <si>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</si>
  <si>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</si>
  <si>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</si>
  <si>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</si>
  <si>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</si>
  <si>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</si>
  <si>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</si>
  <si>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</si>
  <si>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</si>
  <si>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</si>
  <si>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</si>
  <si>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</si>
  <si>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</si>
  <si>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</si>
  <si>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</si>
  <si>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</si>
  <si>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</si>
  <si>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</si>
  <si>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</si>
  <si>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</si>
  <si>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</si>
  <si>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</si>
  <si>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</si>
  <si>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</si>
  <si>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</si>
  <si>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</si>
  <si>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</si>
  <si>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</si>
  <si>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</si>
  <si>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</si>
  <si>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</si>
  <si>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</si>
  <si>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</si>
  <si>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</si>
  <si>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</si>
  <si>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</si>
  <si>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</si>
  <si>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</si>
  <si>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</si>
  <si>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</si>
  <si>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</si>
  <si>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</si>
  <si>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</si>
  <si>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</si>
  <si>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</si>
  <si>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</si>
  <si>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</si>
  <si>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</si>
  <si>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</si>
  <si>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</si>
  <si>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</si>
  <si>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</si>
  <si>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</si>
  <si>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</si>
  <si>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</si>
  <si>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</si>
  <si>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</si>
  <si>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</si>
  <si>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</si>
  <si>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</si>
  <si>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</si>
  <si>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</si>
  <si>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</si>
  <si>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</si>
  <si>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</si>
  <si>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</si>
  <si>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</si>
  <si>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</si>
  <si>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</si>
  <si>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</si>
  <si>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</si>
  <si>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</si>
  <si>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</si>
  <si>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</si>
  <si>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</si>
  <si>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</si>
  <si>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</si>
  <si>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</si>
  <si>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</si>
  <si>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</si>
  <si>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</si>
  <si>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</si>
  <si>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</si>
  <si>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</si>
  <si>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</si>
  <si>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</si>
  <si>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</si>
  <si>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</si>
  <si>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</si>
  <si>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</si>
  <si>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</si>
  <si>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</si>
  <si>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</si>
  <si>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</si>
  <si>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</si>
  <si>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</si>
  <si>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</si>
  <si>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</si>
  <si>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</si>
  <si>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</si>
  <si>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</si>
  <si>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</si>
  <si>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</si>
  <si>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</si>
  <si>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</si>
  <si>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</si>
  <si>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</si>
  <si>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</si>
  <si>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</si>
  <si>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</si>
  <si>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</si>
  <si>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</si>
  <si>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</si>
  <si>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</si>
  <si>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</si>
  <si>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</si>
  <si>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</si>
  <si>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</si>
  <si>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</si>
  <si>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</si>
  <si>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</si>
  <si>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</si>
  <si>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</si>
  <si>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</si>
  <si>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</si>
  <si>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</si>
  <si>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</si>
  <si>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</si>
  <si>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</si>
  <si>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</si>
  <si>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</si>
  <si>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</si>
  <si>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</si>
  <si>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</si>
  <si>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</si>
  <si>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</si>
  <si>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</si>
  <si>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</si>
  <si>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</si>
  <si>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</si>
  <si>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</si>
  <si>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</si>
  <si>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</si>
  <si>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</si>
  <si>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</si>
  <si>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</si>
  <si>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</si>
  <si>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</si>
  <si>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</si>
  <si>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</si>
  <si>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</si>
  <si>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</si>
  <si>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</si>
  <si>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</si>
  <si>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</si>
  <si>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</si>
  <si>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</si>
  <si>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</si>
  <si>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</si>
  <si>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</si>
  <si>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</si>
  <si>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</si>
  <si>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</si>
  <si>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</si>
  <si>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</si>
  <si>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</si>
  <si>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</si>
  <si>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</si>
  <si>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</si>
  <si>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</si>
  <si>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</si>
  <si>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</si>
  <si>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</si>
  <si>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</si>
  <si>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</si>
  <si>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</si>
  <si>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</si>
  <si>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</si>
  <si>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</si>
  <si>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</si>
  <si>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</si>
  <si>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</si>
  <si>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</si>
  <si>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</si>
  <si>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</si>
  <si>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</si>
  <si>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</si>
  <si>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</si>
  <si>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</si>
  <si>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</si>
  <si>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</si>
  <si>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</si>
  <si>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</si>
  <si>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</si>
  <si>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</si>
  <si>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</si>
  <si>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</si>
  <si>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</si>
  <si>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</si>
  <si>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</si>
  <si>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</si>
  <si>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</si>
  <si>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</si>
  <si>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</si>
  <si>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</si>
  <si>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</si>
  <si>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</si>
  <si>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</si>
  <si>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</si>
  <si>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</si>
  <si>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</si>
  <si>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</si>
  <si>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</si>
  <si>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</si>
  <si>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</si>
  <si>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</si>
  <si>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</si>
  <si>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</si>
  <si>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</si>
  <si>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</si>
  <si>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</si>
  <si>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</si>
  <si>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</si>
  <si>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</si>
  <si>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</si>
  <si>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</si>
  <si>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</si>
  <si>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</si>
  <si>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</si>
  <si>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</si>
  <si>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</si>
  <si>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</si>
  <si>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</si>
  <si>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</si>
  <si>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</si>
  <si>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</si>
  <si>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</si>
  <si>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</si>
  <si>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</si>
  <si>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</si>
  <si>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</si>
  <si>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</si>
  <si>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</si>
  <si>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</si>
  <si>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</si>
  <si>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</si>
  <si>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</si>
  <si>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</si>
  <si>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</si>
  <si>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</si>
  <si>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</si>
  <si>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</si>
  <si>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</si>
  <si>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</si>
  <si>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</si>
  <si>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</si>
  <si>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</si>
  <si>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</si>
  <si>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</si>
  <si>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</si>
  <si>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</si>
  <si>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</si>
  <si>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</si>
  <si>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</si>
  <si>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</si>
  <si>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</si>
  <si>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</si>
  <si>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</si>
  <si>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</si>
  <si>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</si>
  <si>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</si>
  <si>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</si>
  <si>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</si>
  <si>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</si>
  <si>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</si>
  <si>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</si>
  <si>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</si>
  <si>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</si>
  <si>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</si>
  <si>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</si>
  <si>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</si>
  <si>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</si>
  <si>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</si>
  <si>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</si>
  <si>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</si>
  <si>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</si>
  <si>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</si>
  <si>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</si>
  <si>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</si>
  <si>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</si>
  <si>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</si>
  <si>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</si>
  <si>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</si>
  <si>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</si>
  <si>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</si>
  <si>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</si>
  <si>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</si>
  <si>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</si>
  <si>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</si>
  <si>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</si>
  <si>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</si>
  <si>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</si>
  <si>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</si>
  <si>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</si>
  <si>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</si>
  <si>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</si>
  <si>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</si>
  <si>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</si>
  <si>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</si>
  <si>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</si>
  <si>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</si>
  <si>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</si>
  <si>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</si>
  <si>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</si>
  <si>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</si>
  <si>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</si>
  <si>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</si>
  <si>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</si>
  <si>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</si>
  <si>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</si>
  <si>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</si>
  <si>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</si>
  <si>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</si>
  <si>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</si>
  <si>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</si>
  <si>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</si>
  <si>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</si>
  <si>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</si>
  <si>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</si>
  <si>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</si>
  <si>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</si>
  <si>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</si>
  <si>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</si>
  <si>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</si>
  <si>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</si>
  <si>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</si>
  <si>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</si>
  <si>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</si>
  <si>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</si>
  <si>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</si>
  <si>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</si>
  <si>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</si>
  <si>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</si>
  <si>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</si>
  <si>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</si>
  <si>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</si>
  <si>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</si>
  <si>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</si>
  <si>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</si>
  <si>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</si>
  <si>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</si>
  <si>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</si>
  <si>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</si>
  <si>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</si>
  <si>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</si>
  <si>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</si>
  <si>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</si>
  <si>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</si>
  <si>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</si>
  <si>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</si>
  <si>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</si>
  <si>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</si>
  <si>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</si>
  <si>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</si>
  <si>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</si>
  <si>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</si>
  <si>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</si>
  <si>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</si>
  <si>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</si>
  <si>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</si>
  <si>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</si>
  <si>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</si>
  <si>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</si>
  <si>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</si>
  <si>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</si>
  <si>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</si>
  <si>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</si>
  <si>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</si>
  <si>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</si>
  <si>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</si>
  <si>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</si>
  <si>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</si>
  <si>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</si>
  <si>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</si>
  <si>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</si>
  <si>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</si>
  <si>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</si>
  <si>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</si>
  <si>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</si>
  <si>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</si>
  <si>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</si>
  <si>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</si>
  <si>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</si>
  <si>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</si>
  <si>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</si>
  <si>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</si>
  <si>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</si>
  <si>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</si>
  <si>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</si>
  <si>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</si>
  <si>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</si>
  <si>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</si>
  <si>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</si>
  <si>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</si>
  <si>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</si>
  <si>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</si>
  <si>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</si>
  <si>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</si>
  <si>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</si>
  <si>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</si>
  <si>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</si>
  <si>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</si>
  <si>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</si>
  <si>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</si>
  <si>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</si>
  <si>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</si>
  <si>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</si>
  <si>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</si>
  <si>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</si>
  <si>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</si>
  <si>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</si>
  <si>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</si>
  <si>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</si>
  <si>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</si>
  <si>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</si>
  <si>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</si>
  <si>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</si>
  <si>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</si>
  <si>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</si>
  <si>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</si>
  <si>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</si>
  <si>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</si>
  <si>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</si>
  <si>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</si>
  <si>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</si>
  <si>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</si>
  <si>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</si>
  <si>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</si>
  <si>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</si>
  <si>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</si>
  <si>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</si>
  <si>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</si>
  <si>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</si>
  <si>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</si>
  <si>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</si>
  <si>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</si>
  <si>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</si>
  <si>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</si>
  <si>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</si>
  <si>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</si>
  <si>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</si>
  <si>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</si>
  <si>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</si>
  <si>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</si>
  <si>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</si>
  <si>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</si>
  <si>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</si>
  <si>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</si>
  <si>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</si>
  <si>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</si>
  <si>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</si>
  <si>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</si>
  <si>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</si>
  <si>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</si>
  <si>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</si>
  <si>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</si>
  <si>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</si>
  <si>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</si>
  <si>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</si>
  <si>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</si>
  <si>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</si>
  <si>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</si>
  <si>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</si>
  <si>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</si>
  <si>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</si>
  <si>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</si>
  <si>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</si>
  <si>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</si>
  <si>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</si>
  <si>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</si>
  <si>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</si>
  <si>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</si>
  <si>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</si>
  <si>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</si>
  <si>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</si>
  <si>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</si>
  <si>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</si>
  <si>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</si>
  <si>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</si>
  <si>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</si>
  <si>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</si>
  <si>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</si>
  <si>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</si>
  <si>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</si>
  <si>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</si>
  <si>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</si>
  <si>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</si>
  <si>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</si>
  <si>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</si>
  <si>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</si>
  <si>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</si>
  <si>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</si>
  <si>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</si>
  <si>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</si>
  <si>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</si>
  <si>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</si>
  <si>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</si>
  <si>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</si>
  <si>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</si>
  <si>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</si>
  <si>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</si>
  <si>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</si>
  <si>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</si>
  <si>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</si>
  <si>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</si>
  <si>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</si>
  <si>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</si>
  <si>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</si>
  <si>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</si>
  <si>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</si>
  <si>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</si>
  <si>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</si>
  <si>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</si>
  <si>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</si>
  <si>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</si>
  <si>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</si>
  <si>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</si>
  <si>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</si>
  <si>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</si>
  <si>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</si>
  <si>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</si>
  <si>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</si>
  <si>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</si>
  <si>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</si>
  <si>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</si>
  <si>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</si>
  <si>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</si>
  <si>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</si>
  <si>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</si>
  <si>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</si>
  <si>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</si>
  <si>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</si>
  <si>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</si>
  <si>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</si>
  <si>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</si>
  <si>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</si>
  <si>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</si>
  <si>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</si>
  <si>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</si>
  <si>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</si>
  <si>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</si>
  <si>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</si>
  <si>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</si>
  <si>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</si>
  <si>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</si>
  <si>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</si>
  <si>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</si>
  <si>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</si>
  <si>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</si>
  <si>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</si>
  <si>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</si>
  <si>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</si>
  <si>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</si>
  <si>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</si>
  <si>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</si>
  <si>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</si>
  <si>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</si>
  <si>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</si>
  <si>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</si>
  <si>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</si>
  <si>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</si>
  <si>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</si>
  <si>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</si>
  <si>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</si>
  <si>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</si>
  <si>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</si>
  <si>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</si>
  <si>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</si>
  <si>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</si>
  <si>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</si>
  <si>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</si>
  <si>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</si>
  <si>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</si>
  <si>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</si>
  <si>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</si>
  <si>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</si>
  <si>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</si>
  <si>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</si>
  <si>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</si>
  <si>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</si>
  <si>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</si>
  <si>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</si>
  <si>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</si>
  <si>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</si>
  <si>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</si>
  <si>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</si>
  <si>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</si>
  <si>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</si>
  <si>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</si>
  <si>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</si>
  <si>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</si>
  <si>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</si>
  <si>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</si>
  <si>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</si>
  <si>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</si>
  <si>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</si>
  <si>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</si>
  <si>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</si>
  <si>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</si>
  <si>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</si>
  <si>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</si>
  <si>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</si>
  <si>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</si>
  <si>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</si>
  <si>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</si>
  <si>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</si>
  <si>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</si>
  <si>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</si>
  <si>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</si>
  <si>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</si>
  <si>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</si>
  <si>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</si>
  <si>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</si>
  <si>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</si>
  <si>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</si>
  <si>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</si>
  <si>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</si>
  <si>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</si>
  <si>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</si>
  <si>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</si>
  <si>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</si>
  <si>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</si>
  <si>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</si>
  <si>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</si>
  <si>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</si>
  <si>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</si>
  <si>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</si>
  <si>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</si>
  <si>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</si>
  <si>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</si>
  <si>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</si>
  <si>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</si>
  <si>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</si>
  <si>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</si>
  <si>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</si>
  <si>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</si>
  <si>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</si>
  <si>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</si>
  <si>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</si>
  <si>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</si>
  <si>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</si>
  <si>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</si>
  <si>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</si>
  <si>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</si>
  <si>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</si>
  <si>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</si>
  <si>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</si>
  <si>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</si>
  <si>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</si>
  <si>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</si>
  <si>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</si>
  <si>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</si>
  <si>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</si>
  <si>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</si>
  <si>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</si>
  <si>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</si>
  <si>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</si>
  <si>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</si>
  <si>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</si>
  <si>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</si>
  <si>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</si>
  <si>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</si>
  <si>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</si>
  <si>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</si>
  <si>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</si>
  <si>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</si>
  <si>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</si>
  <si>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</si>
  <si>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</si>
  <si>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</si>
  <si>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</si>
  <si>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</si>
  <si>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</si>
  <si>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</si>
  <si>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</si>
  <si>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</si>
  <si>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</si>
  <si>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</si>
  <si>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</si>
  <si>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</si>
  <si>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</si>
  <si>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</si>
  <si>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</si>
  <si>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</si>
  <si>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</si>
  <si>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</si>
  <si>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</si>
  <si>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</si>
  <si>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</si>
  <si>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</si>
  <si>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</si>
  <si>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</si>
  <si>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</si>
  <si>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</si>
  <si>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</si>
  <si>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</si>
  <si>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</si>
  <si>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</si>
  <si>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</si>
  <si>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</si>
  <si>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</si>
  <si>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</si>
  <si>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</si>
  <si>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</si>
  <si>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</si>
  <si>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</si>
  <si>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</si>
  <si>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</si>
  <si>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</si>
  <si>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</si>
  <si>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</si>
  <si>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</si>
  <si>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</si>
  <si>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</si>
  <si>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</si>
  <si>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</si>
  <si>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</si>
  <si>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</si>
  <si>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</si>
  <si>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</si>
  <si>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</si>
  <si>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</si>
  <si>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</si>
  <si>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</si>
  <si>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</si>
  <si>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</si>
  <si>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</si>
  <si>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</si>
  <si>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</si>
  <si>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</si>
  <si>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</si>
  <si>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</si>
  <si>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</si>
  <si>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</si>
  <si>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</si>
  <si>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</si>
  <si>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</si>
  <si>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</si>
  <si>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</si>
  <si>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</si>
  <si>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</si>
  <si>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</si>
  <si>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</si>
  <si>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</si>
  <si>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</si>
  <si>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</si>
  <si>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</si>
  <si>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</si>
  <si>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</si>
  <si>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</si>
  <si>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</si>
  <si>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</si>
  <si>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</si>
  <si>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</si>
  <si>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</si>
  <si>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</si>
  <si>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</si>
  <si>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</si>
  <si>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</si>
  <si>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</si>
  <si>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</si>
  <si>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</si>
  <si>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</si>
  <si>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</si>
  <si>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</si>
  <si>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</si>
  <si>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</si>
  <si>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</si>
  <si>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</si>
  <si>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</si>
  <si>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</si>
  <si>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</si>
  <si>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</si>
  <si>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</si>
  <si>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</si>
  <si>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</si>
  <si>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</si>
  <si>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</si>
  <si>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</si>
  <si>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</si>
  <si>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</si>
  <si>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</si>
  <si>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</si>
  <si>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</si>
  <si>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</si>
  <si>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</si>
  <si>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</si>
  <si>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</si>
  <si>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</si>
  <si>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</si>
  <si>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</si>
  <si>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</si>
  <si>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</si>
  <si>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</si>
  <si>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</si>
  <si>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</si>
  <si>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</si>
  <si>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</si>
  <si>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</si>
  <si>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</si>
  <si>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</si>
  <si>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</si>
  <si>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</si>
  <si>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</si>
  <si>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</si>
  <si>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</si>
  <si>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</si>
  <si>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</si>
  <si>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</si>
  <si>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</si>
  <si>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</si>
  <si>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</si>
  <si>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</si>
  <si>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</si>
  <si>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</si>
  <si>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</si>
  <si>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</si>
  <si>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</si>
  <si>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</si>
  <si>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</si>
  <si>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</si>
  <si>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</si>
  <si>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</si>
  <si>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</si>
  <si>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</si>
  <si>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</si>
  <si>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</si>
  <si>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</si>
  <si>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</si>
  <si>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</si>
  <si>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</si>
  <si>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</si>
  <si>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</si>
  <si>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</si>
  <si>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</si>
  <si>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</si>
  <si>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</si>
  <si>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</si>
  <si>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</si>
  <si>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</si>
  <si>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</si>
  <si>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</si>
  <si>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</si>
  <si>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</si>
  <si>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</si>
  <si>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</si>
  <si>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</si>
  <si>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</si>
  <si>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</si>
  <si>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</si>
  <si>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</si>
  <si>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</si>
  <si>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</si>
  <si>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</si>
  <si>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</si>
  <si>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</si>
  <si>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</si>
  <si>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</si>
  <si>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</si>
  <si>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</si>
  <si>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</si>
  <si>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</si>
  <si>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</si>
  <si>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</si>
  <si>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</si>
  <si>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</si>
  <si>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</si>
  <si>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</si>
  <si>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</si>
  <si>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</si>
  <si>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</si>
  <si>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</si>
  <si>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</si>
  <si>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</si>
  <si>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</si>
  <si>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</si>
  <si>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</si>
  <si>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</si>
  <si>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</si>
  <si>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</si>
  <si>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</si>
  <si>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</si>
  <si>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</si>
  <si>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</si>
  <si>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</si>
  <si>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</si>
  <si>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</si>
  <si>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</si>
  <si>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</si>
  <si>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</si>
  <si>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</si>
  <si>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</si>
  <si>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</si>
  <si>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</si>
  <si>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</si>
  <si>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</si>
  <si>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</si>
  <si>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</si>
  <si>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</si>
  <si>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</si>
  <si>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</si>
  <si>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</si>
  <si>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</si>
  <si>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</si>
  <si>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</si>
  <si>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</si>
  <si>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</si>
  <si>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</si>
  <si>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</si>
  <si>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</si>
  <si>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</si>
  <si>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</si>
  <si>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</si>
  <si>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</si>
  <si>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</si>
  <si>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</si>
  <si>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</si>
  <si>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</si>
  <si>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</si>
  <si>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</si>
  <si>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</si>
  <si>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</si>
  <si>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</si>
  <si>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</si>
  <si>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</si>
  <si>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</si>
  <si>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</si>
  <si>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</si>
  <si>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</si>
  <si>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</si>
  <si>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</si>
  <si>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</si>
  <si>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</si>
  <si>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</si>
  <si>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</si>
  <si>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</si>
  <si>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</si>
  <si>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</si>
  <si>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</si>
  <si>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</si>
  <si>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</si>
  <si>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</si>
  <si>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</si>
  <si>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</si>
  <si>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</si>
  <si>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</si>
  <si>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</si>
  <si>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</si>
  <si>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</si>
  <si>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</si>
  <si>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</si>
  <si>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</si>
  <si>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</si>
  <si>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</si>
  <si>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</si>
  <si>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</si>
  <si>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</si>
  <si>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</si>
  <si>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</si>
  <si>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</si>
  <si>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</si>
  <si>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</si>
  <si>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</si>
  <si>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</si>
  <si>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</si>
  <si>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</si>
  <si>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</si>
  <si>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</si>
  <si>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</si>
  <si>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</si>
  <si>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</si>
  <si>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</si>
  <si>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</si>
  <si>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</si>
  <si>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</si>
  <si>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</si>
  <si>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</si>
  <si>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</si>
  <si>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</si>
  <si>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</si>
  <si>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</si>
  <si>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</si>
  <si>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</si>
  <si>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</si>
  <si>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</si>
  <si>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</si>
  <si>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</si>
  <si>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</si>
  <si>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</si>
  <si>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</si>
  <si>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</si>
  <si>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</si>
  <si>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</si>
  <si>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</si>
  <si>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</si>
  <si>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</si>
  <si>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</si>
  <si>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</si>
  <si>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</si>
  <si>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</si>
  <si>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</si>
  <si>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</si>
  <si>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</si>
  <si>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</si>
  <si>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</si>
  <si>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</si>
  <si>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</si>
  <si>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</si>
  <si>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</si>
  <si>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</si>
  <si>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</si>
  <si>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</si>
  <si>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</si>
  <si>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</si>
  <si>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</si>
  <si>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</si>
  <si>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</si>
  <si>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</si>
  <si>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</si>
  <si>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</si>
  <si>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</si>
  <si>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</si>
  <si>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</si>
  <si>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</si>
  <si>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</si>
  <si>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</si>
  <si>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</si>
  <si>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</si>
  <si>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</si>
  <si>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</si>
  <si>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</si>
  <si>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</si>
  <si>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</si>
  <si>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</si>
  <si>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</si>
  <si>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</si>
  <si>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</si>
  <si>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</si>
  <si>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</si>
  <si>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</si>
  <si>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</si>
  <si>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</si>
  <si>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</si>
  <si>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</si>
  <si>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</si>
  <si>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</si>
  <si>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</si>
  <si>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</si>
  <si>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</si>
  <si>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</si>
  <si>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</si>
  <si>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</si>
  <si>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</si>
  <si>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</si>
  <si>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</si>
  <si>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</si>
  <si>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</si>
  <si>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</si>
  <si>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</si>
  <si>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</si>
  <si>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</si>
  <si>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</si>
  <si>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</si>
  <si>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</si>
  <si>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</si>
  <si>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</si>
  <si>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</si>
  <si>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</si>
  <si>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</si>
  <si>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</si>
  <si>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</si>
  <si>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</si>
  <si>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</si>
  <si>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</si>
  <si>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</si>
  <si>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</si>
  <si>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</si>
  <si>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</si>
  <si>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</si>
  <si>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</si>
  <si>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</si>
  <si>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</si>
  <si>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</si>
  <si>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</si>
  <si>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</si>
  <si>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</si>
  <si>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</si>
  <si>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</si>
  <si>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</si>
  <si>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</si>
  <si>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</si>
  <si>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</si>
  <si>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</si>
  <si>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</si>
  <si>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</si>
  <si>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</si>
  <si>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</si>
  <si>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</si>
  <si>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</si>
  <si>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</si>
  <si>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</si>
  <si>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</si>
  <si>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</si>
  <si>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</si>
  <si>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</si>
  <si>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</si>
  <si>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</si>
  <si>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</si>
  <si>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</si>
  <si>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</si>
  <si>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</si>
  <si>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</si>
  <si>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</si>
  <si>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</si>
  <si>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</si>
  <si>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</si>
  <si>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</si>
  <si>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</si>
  <si>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</si>
  <si>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</si>
  <si>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</si>
  <si>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</si>
  <si>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</si>
  <si>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</si>
  <si>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</si>
  <si>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</si>
  <si>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</si>
  <si>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</si>
  <si>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</si>
  <si>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</si>
  <si>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</si>
  <si>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</si>
  <si>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</si>
  <si>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</si>
  <si>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</si>
  <si>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</si>
  <si>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</si>
  <si>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</si>
  <si>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</si>
  <si>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</si>
  <si>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</si>
  <si>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</si>
  <si>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</si>
  <si>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</si>
  <si>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</si>
  <si>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</si>
  <si>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</si>
  <si>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</si>
  <si>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</si>
  <si>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</si>
  <si>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</si>
  <si>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</si>
  <si>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</si>
  <si>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</si>
  <si>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</si>
  <si>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</si>
  <si>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</si>
  <si>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</si>
  <si>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</si>
  <si>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</si>
  <si>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</si>
  <si>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</si>
  <si>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</si>
  <si>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</si>
  <si>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</si>
  <si>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</si>
  <si>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</si>
  <si>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</si>
  <si>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</si>
  <si>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</si>
  <si>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</si>
  <si>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</si>
  <si>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</si>
  <si>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</si>
  <si>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</si>
  <si>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</si>
  <si>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</si>
  <si>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</si>
  <si>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</si>
  <si>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</si>
  <si>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</si>
  <si>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</si>
  <si>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</si>
  <si>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</si>
  <si>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</si>
  <si>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</si>
  <si>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</si>
  <si>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</si>
  <si>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</si>
  <si>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</si>
  <si>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</si>
  <si>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</si>
  <si>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</si>
  <si>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</si>
  <si>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</si>
  <si>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</si>
  <si>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</si>
  <si>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</si>
  <si>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</si>
  <si>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</si>
  <si>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</si>
  <si>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</si>
  <si>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</si>
  <si>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</si>
  <si>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</si>
  <si>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</si>
  <si>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</si>
  <si>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</si>
  <si>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</si>
  <si>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</si>
  <si>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</si>
  <si>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</si>
  <si>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</si>
  <si>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</si>
  <si>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</si>
  <si>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</si>
  <si>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</si>
  <si>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</si>
  <si>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</si>
  <si>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</si>
  <si>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</si>
  <si>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</si>
  <si>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</si>
  <si>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</si>
  <si>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</si>
  <si>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</si>
  <si>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</si>
  <si>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</si>
  <si>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</si>
  <si>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</si>
  <si>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</si>
  <si>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</si>
  <si>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</si>
  <si>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</si>
  <si>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</si>
  <si>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</si>
  <si>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</si>
  <si>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</si>
  <si>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</si>
  <si>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</si>
  <si>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</si>
  <si>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</si>
  <si>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</si>
  <si>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</si>
  <si>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</si>
  <si>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</si>
  <si>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</si>
  <si>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</si>
  <si>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</si>
  <si>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</si>
  <si>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</si>
  <si>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</si>
  <si>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</si>
  <si>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</si>
  <si>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</si>
  <si>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</si>
  <si>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</si>
  <si>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</si>
  <si>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</si>
  <si>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</si>
  <si>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</si>
  <si>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</si>
  <si>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</si>
  <si>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</si>
  <si>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</si>
  <si>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</si>
  <si>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</si>
  <si>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</si>
  <si>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</si>
  <si>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</si>
  <si>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</si>
  <si>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</si>
  <si>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</si>
  <si>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</si>
  <si>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</si>
  <si>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</si>
  <si>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</si>
  <si>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</si>
  <si>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</si>
  <si>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</si>
  <si>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</si>
  <si>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</si>
  <si>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</si>
  <si>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</si>
  <si>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</si>
  <si>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</si>
  <si>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</si>
  <si>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</si>
  <si>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</si>
  <si>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</si>
  <si>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</si>
  <si>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</si>
  <si>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</si>
  <si>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</si>
  <si>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</si>
  <si>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</si>
  <si>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</si>
  <si>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</si>
  <si>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</si>
  <si>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</si>
  <si>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</si>
  <si>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</si>
  <si>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</si>
  <si>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</si>
  <si>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</si>
  <si>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</si>
  <si>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</si>
  <si>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</si>
  <si>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</si>
  <si>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</si>
  <si>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</si>
  <si>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</si>
  <si>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</si>
  <si>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</si>
  <si>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</si>
  <si>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</si>
  <si>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</si>
  <si>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</si>
  <si>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</si>
  <si>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</si>
  <si>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</si>
  <si>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</si>
  <si>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</si>
  <si>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</si>
  <si>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</si>
  <si>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</si>
  <si>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</si>
  <si>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</si>
  <si>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</si>
  <si>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</si>
  <si>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</si>
  <si>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</si>
  <si>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</si>
  <si>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</si>
  <si>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</si>
  <si>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</si>
  <si>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</si>
  <si>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</si>
  <si>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</si>
  <si>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</si>
  <si>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</si>
  <si>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</si>
  <si>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</si>
  <si>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</si>
  <si>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</si>
  <si>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</si>
  <si>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</si>
  <si>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</si>
  <si>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</si>
  <si>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</si>
  <si>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</si>
  <si>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</si>
  <si>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</si>
  <si>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</si>
  <si>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</si>
  <si>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</si>
  <si>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</si>
  <si>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</si>
  <si>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</si>
  <si>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</si>
  <si>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</si>
  <si>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</si>
  <si>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</si>
  <si>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</si>
  <si>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</si>
  <si>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</si>
  <si>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</si>
  <si>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</si>
  <si>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</si>
  <si>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</si>
  <si>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</si>
  <si>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</si>
  <si>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</si>
  <si>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</si>
  <si>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</si>
  <si>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</si>
  <si>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</si>
  <si>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</si>
  <si>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</si>
  <si>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</si>
  <si>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</si>
  <si>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</si>
  <si>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</si>
  <si>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</si>
  <si>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</si>
  <si>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</si>
  <si>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</si>
  <si>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</si>
  <si>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</si>
  <si>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</si>
  <si>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</si>
  <si>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</si>
  <si>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</si>
  <si>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</si>
  <si>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</si>
  <si>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</si>
  <si>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</si>
  <si>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</si>
  <si>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</si>
  <si>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</si>
  <si>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</si>
  <si>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</si>
  <si>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</si>
  <si>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</si>
  <si>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</si>
  <si>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</si>
  <si>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</si>
  <si>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</si>
  <si>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</si>
  <si>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</si>
  <si>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</si>
  <si>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</si>
  <si>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</si>
  <si>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</si>
  <si>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</si>
  <si>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</si>
  <si>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</si>
  <si>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</si>
  <si>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</si>
  <si>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</si>
  <si>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</si>
  <si>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</si>
  <si>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</si>
  <si>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</si>
  <si>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</si>
  <si>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</si>
  <si>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</si>
  <si>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</si>
  <si>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</si>
  <si>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</si>
  <si>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</si>
  <si>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</si>
  <si>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</si>
  <si>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</si>
  <si>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</si>
  <si>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</si>
  <si>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</si>
  <si>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</si>
  <si>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</si>
  <si>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</si>
  <si>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</si>
  <si>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</si>
  <si>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</si>
  <si>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</si>
  <si>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</si>
  <si>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</si>
  <si>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</si>
  <si>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</si>
  <si>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</si>
  <si>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</si>
  <si>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</si>
  <si>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</si>
  <si>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</si>
  <si>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</si>
  <si>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</si>
  <si>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</si>
  <si>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</si>
  <si>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</si>
  <si>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</si>
  <si>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</si>
  <si>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</si>
  <si>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</si>
  <si>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</si>
  <si>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</si>
  <si>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</si>
  <si>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</si>
  <si>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</si>
  <si>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</si>
  <si>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</si>
  <si>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</si>
  <si>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</si>
  <si>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</si>
  <si>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</si>
  <si>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</si>
  <si>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</si>
  <si>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</si>
  <si>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</si>
  <si>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</si>
  <si>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</si>
  <si>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</si>
  <si>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</si>
  <si>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</si>
  <si>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</si>
  <si>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</si>
  <si>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</si>
  <si>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</si>
  <si>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</si>
  <si>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</si>
  <si>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</si>
  <si>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</si>
  <si>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</si>
  <si>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</si>
  <si>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</si>
  <si>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</si>
  <si>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</si>
  <si>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</si>
  <si>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</si>
  <si>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</si>
  <si>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</si>
  <si>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</si>
  <si>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</si>
  <si>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</si>
  <si>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</si>
  <si>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</si>
  <si>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</si>
  <si>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</si>
  <si>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</si>
  <si>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</si>
  <si>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</si>
  <si>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</si>
  <si>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</si>
  <si>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</si>
  <si>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</si>
  <si>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</si>
  <si>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</si>
  <si>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</si>
  <si>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</si>
  <si>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</si>
  <si>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</si>
  <si>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</si>
  <si>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</si>
  <si>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</si>
  <si>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</si>
  <si>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</si>
  <si>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</si>
  <si>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</si>
  <si>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</si>
  <si>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</si>
  <si>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</si>
  <si>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</si>
  <si>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</si>
  <si>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</si>
  <si>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</si>
  <si>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</si>
  <si>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</si>
  <si>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</si>
  <si>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</si>
  <si>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</si>
  <si>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</si>
  <si>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</si>
  <si>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</si>
  <si>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</si>
  <si>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</si>
  <si>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</si>
  <si>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</si>
  <si>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</si>
  <si>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</si>
  <si>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</si>
  <si>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</si>
  <si>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</si>
  <si>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</si>
  <si>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</si>
  <si>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</si>
  <si>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</si>
  <si>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</si>
  <si>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</si>
  <si>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</si>
  <si>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</si>
  <si>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</si>
  <si>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</si>
  <si>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</si>
  <si>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</si>
  <si>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</si>
  <si>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</si>
  <si>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</si>
  <si>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</si>
  <si>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</si>
  <si>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</si>
  <si>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</si>
  <si>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</si>
  <si>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</si>
  <si>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</si>
  <si>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</si>
  <si>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</si>
  <si>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</si>
  <si>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</si>
  <si>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</si>
  <si>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</si>
  <si>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</si>
  <si>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</si>
  <si>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</si>
  <si>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</si>
  <si>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</si>
  <si>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</si>
  <si>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</si>
  <si>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</si>
  <si>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</si>
  <si>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</si>
  <si>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</si>
  <si>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</si>
  <si>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</si>
  <si>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</si>
  <si>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</si>
  <si>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</si>
  <si>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</si>
  <si>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</si>
  <si>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</si>
  <si>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</si>
  <si>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</si>
  <si>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</si>
  <si>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</si>
  <si>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</si>
  <si>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</si>
  <si>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</si>
  <si>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</si>
  <si>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</si>
  <si>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</si>
  <si>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</si>
  <si>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</si>
  <si>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</si>
  <si>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</si>
  <si>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</si>
  <si>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</si>
  <si>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</si>
  <si>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</si>
  <si>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</si>
  <si>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</si>
  <si>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</si>
  <si>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</si>
  <si>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</si>
  <si>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</si>
  <si>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</si>
  <si>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</si>
  <si>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</si>
  <si>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</si>
  <si>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</si>
  <si>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</si>
  <si>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</si>
  <si>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</si>
  <si>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</si>
  <si>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</si>
  <si>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</si>
  <si>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</si>
  <si>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</si>
  <si>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</si>
  <si>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</si>
  <si>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</si>
  <si>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</si>
  <si>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</si>
  <si>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</si>
  <si>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</si>
  <si>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</si>
  <si>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</si>
  <si>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</si>
  <si>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</si>
  <si>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</si>
  <si>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</si>
  <si>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</si>
  <si>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</si>
  <si>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</si>
  <si>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</si>
  <si>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</si>
  <si>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</si>
  <si>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</si>
  <si>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</si>
  <si>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</si>
  <si>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</si>
  <si>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</si>
  <si>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</si>
  <si>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</si>
  <si>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</si>
  <si>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</si>
  <si>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</si>
  <si>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</si>
  <si>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</si>
  <si>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</si>
  <si>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</si>
  <si>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</si>
  <si>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</si>
  <si>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</si>
  <si>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</si>
  <si>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</si>
  <si>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</si>
  <si>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</si>
  <si>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</si>
  <si>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</si>
  <si>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</si>
  <si>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</si>
  <si>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</si>
  <si>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</si>
  <si>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</si>
  <si>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</si>
  <si>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</si>
  <si>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</si>
  <si>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</si>
  <si>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</si>
  <si>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</si>
  <si>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</si>
  <si>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</si>
  <si>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</si>
  <si>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</si>
  <si>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</si>
  <si>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</si>
  <si>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</si>
  <si>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</si>
  <si>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</si>
  <si>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</si>
  <si>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</si>
  <si>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</si>
  <si>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</si>
  <si>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</si>
  <si>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</si>
  <si>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</si>
  <si>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</si>
  <si>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</si>
  <si>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</si>
  <si>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</si>
  <si>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</si>
  <si>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</si>
  <si>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</si>
  <si>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</si>
  <si>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</si>
  <si>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</si>
  <si>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</si>
  <si>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</si>
  <si>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</si>
  <si>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</si>
  <si>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</si>
  <si>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</si>
  <si>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</si>
  <si>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</si>
  <si>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</si>
  <si>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</si>
  <si>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</si>
  <si>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</si>
  <si>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</si>
  <si>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</si>
  <si>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</si>
  <si>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</si>
  <si>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</si>
  <si>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</si>
  <si>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</si>
  <si>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</si>
  <si>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</si>
  <si>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</si>
  <si>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</si>
  <si>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</si>
  <si>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</si>
  <si>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</si>
  <si>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</si>
  <si>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</si>
  <si>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</si>
  <si>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</si>
  <si>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</si>
  <si>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</si>
  <si>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</si>
  <si>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</si>
  <si>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</si>
  <si>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</si>
  <si>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</si>
  <si>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</si>
  <si>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</si>
  <si>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</si>
  <si>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</si>
  <si>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</si>
  <si>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</si>
  <si>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</si>
  <si>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</si>
  <si>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</si>
  <si>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</si>
  <si>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</si>
  <si>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</si>
  <si>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</si>
  <si>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</si>
  <si>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</si>
  <si>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</si>
  <si>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</si>
  <si>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</si>
  <si>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</si>
  <si>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</si>
  <si>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</si>
  <si>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</si>
  <si>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</si>
  <si>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</si>
  <si>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</si>
  <si>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</si>
  <si>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</si>
  <si>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</si>
  <si>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</si>
  <si>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</si>
  <si>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</si>
  <si>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</si>
  <si>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</si>
  <si>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</si>
  <si>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</si>
  <si>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</si>
  <si>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</si>
  <si>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</si>
  <si>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</si>
  <si>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</si>
  <si>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</si>
  <si>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</si>
  <si>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</si>
  <si>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</si>
  <si>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</si>
  <si>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</si>
  <si>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</si>
  <si>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</si>
  <si>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</si>
  <si>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</si>
  <si>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</si>
  <si>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</si>
  <si>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</si>
  <si>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</si>
  <si>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</si>
  <si>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</si>
  <si>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</si>
  <si>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</si>
  <si>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</si>
  <si>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</si>
  <si>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</si>
  <si>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</si>
  <si>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</si>
  <si>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</si>
  <si>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</si>
  <si>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</si>
  <si>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</si>
  <si>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</si>
  <si>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</si>
  <si>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</si>
  <si>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</si>
  <si>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</si>
  <si>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</si>
  <si>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</si>
  <si>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</si>
  <si>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</si>
  <si>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</si>
  <si>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</si>
  <si>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</si>
  <si>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</si>
  <si>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</si>
  <si>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</si>
  <si>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</si>
  <si>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</si>
  <si>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</si>
  <si>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</si>
  <si>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</si>
  <si>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</si>
  <si>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</si>
  <si>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</si>
  <si>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</si>
  <si>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</si>
  <si>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</si>
  <si>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</si>
  <si>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</si>
  <si>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</si>
  <si>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</si>
  <si>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</si>
  <si>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</si>
  <si>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</si>
  <si>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</si>
  <si>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</si>
  <si>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</si>
  <si>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</si>
  <si>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</si>
  <si>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</si>
  <si>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</si>
  <si>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</si>
  <si>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</si>
  <si>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</si>
  <si>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</si>
  <si>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</si>
  <si>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</si>
  <si>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</si>
  <si>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</si>
  <si>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</si>
  <si>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</si>
  <si>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</si>
  <si>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</si>
  <si>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</si>
  <si>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</si>
  <si>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</si>
  <si>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</si>
  <si>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</si>
  <si>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</si>
  <si>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</si>
  <si>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</si>
  <si>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</si>
  <si>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</si>
  <si>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</si>
  <si>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</si>
  <si>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</si>
  <si>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</si>
  <si>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</si>
  <si>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</si>
  <si>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</si>
  <si>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</si>
  <si>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</si>
  <si>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</si>
  <si>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</si>
  <si>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</si>
  <si>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</si>
  <si>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</si>
  <si>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</si>
  <si>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</si>
  <si>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</si>
  <si>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</si>
  <si>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</si>
  <si>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</si>
  <si>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</si>
  <si>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</si>
  <si>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</si>
  <si>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</si>
  <si>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</si>
  <si>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</si>
  <si>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</si>
  <si>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</si>
  <si>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</si>
  <si>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</si>
  <si>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</si>
  <si>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</si>
  <si>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</si>
  <si>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</si>
  <si>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</si>
  <si>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</si>
  <si>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</si>
  <si>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</si>
  <si>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</si>
  <si>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</si>
  <si>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</si>
  <si>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</si>
  <si>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</si>
  <si>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</si>
  <si>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</si>
  <si>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</si>
  <si>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</si>
  <si>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</si>
  <si>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</si>
  <si>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</si>
  <si>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</si>
  <si>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</si>
  <si>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</si>
  <si>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</si>
  <si>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</si>
  <si>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</si>
  <si>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</si>
  <si>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</si>
  <si>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</si>
  <si>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</si>
  <si>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</si>
  <si>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</si>
  <si>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</si>
  <si>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</si>
  <si>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</si>
  <si>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</si>
  <si>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</si>
  <si>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</si>
  <si>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</si>
  <si>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</si>
  <si>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</si>
  <si>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</si>
  <si>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</si>
  <si>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</si>
  <si>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</si>
  <si>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</si>
  <si>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</si>
  <si>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</si>
  <si>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</si>
  <si>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</si>
  <si>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</si>
  <si>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</si>
  <si>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</si>
  <si>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</si>
  <si>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</si>
  <si>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</si>
  <si>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</si>
  <si>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</si>
  <si>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</si>
  <si>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</si>
  <si>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</si>
  <si>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</si>
  <si>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</si>
  <si>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</si>
  <si>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</si>
  <si>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</si>
  <si>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</si>
  <si>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</si>
  <si>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</si>
  <si>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</si>
  <si>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</si>
  <si>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</si>
  <si>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</si>
  <si>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</si>
  <si>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</si>
  <si>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</si>
  <si>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</si>
  <si>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</si>
  <si>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</si>
  <si>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</si>
  <si>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</si>
  <si>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</si>
  <si>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</si>
  <si>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</si>
  <si>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</si>
  <si>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</si>
  <si>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</si>
  <si>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</si>
  <si>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</si>
  <si>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</si>
  <si>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</si>
  <si>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</si>
  <si>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</si>
  <si>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</si>
  <si>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</si>
  <si>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</si>
  <si>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</si>
  <si>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</si>
  <si>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</si>
  <si>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</si>
  <si>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</si>
  <si>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</si>
  <si>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</si>
  <si>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</si>
  <si>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</si>
  <si>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</si>
  <si>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</si>
  <si>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</si>
  <si>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</si>
  <si>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</si>
  <si>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</si>
  <si>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</si>
  <si>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</si>
  <si>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</si>
  <si>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</si>
  <si>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</si>
  <si>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</si>
  <si>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</si>
  <si>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</si>
  <si>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</si>
  <si>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</si>
  <si>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</si>
  <si>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</si>
  <si>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</si>
  <si>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</si>
  <si>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</si>
  <si>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</si>
  <si>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</si>
  <si>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</si>
  <si>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</si>
  <si>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</si>
  <si>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</si>
  <si>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</si>
  <si>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</si>
  <si>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</si>
  <si>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</si>
  <si>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</si>
  <si>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</si>
  <si>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</si>
  <si>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</si>
  <si>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</si>
  <si>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</si>
  <si>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</si>
  <si>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</si>
  <si>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</si>
  <si>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</si>
  <si>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</si>
  <si>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</si>
  <si>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</si>
  <si>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</si>
  <si>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</si>
  <si>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</si>
  <si>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</si>
  <si>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</si>
  <si>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</si>
  <si>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</si>
  <si>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</si>
  <si>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</si>
  <si>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</si>
  <si>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</si>
  <si>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</si>
  <si>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</si>
  <si>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</si>
  <si>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</si>
  <si>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</si>
  <si>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</si>
  <si>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</si>
  <si>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</si>
  <si>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</si>
  <si>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</si>
  <si>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</si>
  <si>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</si>
  <si>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</si>
  <si>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</si>
  <si>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</si>
  <si>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</si>
  <si>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</si>
  <si>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</si>
  <si>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</si>
  <si>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</si>
  <si>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</si>
  <si>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</si>
  <si>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</si>
  <si>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</si>
  <si>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</si>
  <si>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</si>
  <si>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</si>
  <si>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</si>
  <si>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</si>
  <si>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</si>
  <si>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</si>
  <si>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</si>
  <si>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</si>
  <si>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</si>
  <si>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</si>
  <si>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</si>
  <si>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</si>
  <si>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</si>
  <si>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</si>
  <si>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</si>
  <si>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</si>
  <si>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</si>
  <si>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</si>
  <si>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</si>
  <si>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</si>
  <si>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</si>
  <si>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</si>
  <si>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</si>
  <si>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</si>
  <si>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</si>
  <si>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</si>
  <si>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</si>
  <si>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</si>
  <si>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</si>
  <si>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</si>
  <si>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</si>
  <si>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</si>
  <si>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</si>
  <si>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</si>
  <si>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</si>
  <si>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</si>
  <si>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</si>
  <si>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</si>
  <si>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</si>
  <si>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</si>
  <si>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</si>
  <si>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</si>
  <si>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</si>
  <si>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</si>
  <si>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</si>
  <si>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</si>
  <si>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</si>
  <si>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</si>
  <si>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</si>
  <si>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</si>
  <si>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</si>
  <si>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</si>
  <si>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</si>
  <si>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</si>
  <si>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</si>
  <si>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</si>
  <si>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</si>
  <si>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</si>
  <si>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</si>
  <si>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</si>
  <si>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</si>
  <si>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</si>
  <si>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</si>
  <si>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</si>
  <si>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</si>
  <si>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</si>
  <si>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</si>
  <si>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</si>
  <si>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</si>
  <si>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</si>
  <si>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</si>
  <si>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</si>
  <si>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</si>
  <si>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</si>
  <si>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</si>
  <si>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</si>
  <si>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</si>
  <si>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</si>
  <si>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</si>
  <si>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</si>
  <si>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</si>
  <si>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</si>
  <si>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</si>
  <si>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</si>
  <si>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</si>
  <si>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</si>
  <si>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</si>
  <si>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</si>
  <si>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</si>
  <si>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</si>
  <si>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</si>
  <si>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</si>
  <si>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</si>
  <si>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</si>
  <si>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</si>
  <si>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</si>
  <si>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</si>
  <si>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</si>
  <si>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</si>
  <si>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</si>
  <si>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</si>
  <si>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</si>
  <si>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</si>
  <si>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</si>
  <si>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</si>
  <si>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</si>
  <si>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</si>
  <si>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</si>
  <si>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</si>
  <si>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</si>
  <si>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</si>
  <si>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</si>
  <si>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</si>
  <si>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</si>
  <si>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</si>
  <si>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</si>
  <si>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</si>
  <si>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</si>
  <si>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</si>
  <si>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</si>
  <si>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</si>
  <si>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</si>
  <si>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</si>
  <si>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</si>
  <si>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</si>
  <si>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</si>
  <si>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</si>
  <si>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</si>
  <si>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</si>
  <si>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</si>
  <si>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</si>
  <si>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</si>
  <si>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</si>
  <si>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</si>
  <si>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</si>
  <si>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</si>
  <si>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</si>
  <si>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</si>
  <si>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</si>
  <si>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</si>
  <si>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</si>
  <si>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</si>
  <si>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</si>
  <si>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</si>
  <si>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</si>
  <si>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</si>
  <si>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</si>
  <si>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</si>
  <si>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</si>
  <si>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</si>
  <si>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</si>
  <si>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</si>
  <si>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</si>
  <si>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</si>
  <si>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</si>
  <si>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</si>
  <si>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</si>
  <si>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</si>
  <si>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</si>
  <si>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</si>
  <si>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</si>
  <si>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</si>
  <si>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</si>
  <si>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</si>
  <si>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</si>
  <si>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</si>
  <si>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</si>
  <si>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</si>
  <si>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</si>
  <si>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</si>
  <si>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</si>
  <si>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</si>
  <si>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</si>
  <si>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</si>
  <si>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</si>
  <si>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</si>
  <si>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</si>
  <si>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</si>
  <si>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</si>
  <si>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</si>
  <si>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</si>
  <si>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</si>
  <si>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</si>
  <si>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</si>
  <si>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</si>
  <si>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</si>
  <si>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</si>
  <si>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</si>
  <si>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</si>
  <si>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</si>
  <si>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</si>
  <si>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</si>
  <si>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</si>
  <si>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</si>
  <si>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</si>
  <si>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</si>
  <si>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</si>
  <si>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</si>
  <si>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</si>
  <si>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</si>
  <si>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</si>
  <si>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</si>
  <si>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</si>
  <si>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</si>
  <si>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</si>
  <si>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</si>
  <si>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</si>
  <si>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</si>
  <si>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</si>
  <si>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</si>
  <si>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</si>
  <si>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</si>
  <si>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</si>
  <si>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</si>
  <si>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</si>
  <si>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</si>
  <si>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</si>
  <si>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</si>
  <si>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</si>
  <si>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</si>
  <si>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</si>
  <si>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</si>
  <si>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</si>
  <si>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</si>
  <si>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</si>
  <si>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</si>
  <si>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</si>
  <si>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</si>
  <si>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</si>
  <si>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</si>
  <si>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</si>
  <si>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</si>
  <si>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</si>
  <si>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</si>
  <si>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</si>
  <si>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</si>
  <si>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</si>
  <si>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</si>
  <si>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</si>
  <si>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</si>
  <si>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</si>
  <si>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</si>
  <si>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</si>
  <si>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</si>
  <si>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</si>
  <si>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</si>
  <si>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</si>
  <si>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</si>
  <si>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</si>
  <si>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</si>
  <si>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</si>
  <si>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</si>
  <si>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</si>
  <si>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</si>
  <si>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</si>
  <si>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</si>
  <si>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</si>
  <si>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</si>
  <si>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</si>
  <si>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</si>
  <si>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</si>
  <si>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</si>
  <si>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</si>
  <si>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</si>
  <si>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</si>
  <si>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</si>
  <si>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</si>
  <si>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</si>
  <si>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</si>
  <si>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</si>
  <si>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</si>
  <si>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</si>
  <si>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</si>
  <si>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</si>
  <si>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</si>
  <si>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</si>
  <si>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</si>
  <si>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</si>
  <si>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</si>
  <si>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</si>
  <si>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</si>
  <si>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</si>
  <si>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</si>
  <si>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</si>
  <si>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</si>
  <si>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</si>
  <si>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</si>
  <si>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</si>
  <si>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</si>
  <si>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</si>
  <si>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</si>
  <si>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</si>
  <si>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</si>
  <si>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</si>
  <si>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</si>
  <si>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</si>
  <si>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</si>
  <si>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</si>
  <si>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</si>
  <si>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</si>
  <si>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</si>
  <si>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</si>
  <si>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</si>
  <si>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</si>
  <si>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</si>
  <si>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</si>
  <si>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</si>
  <si>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</si>
  <si>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</si>
  <si>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</si>
  <si>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</si>
  <si>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</si>
  <si>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</si>
  <si>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</si>
  <si>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</si>
  <si>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</si>
  <si>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</si>
  <si>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</si>
  <si>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</si>
  <si>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</si>
  <si>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</si>
  <si>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</si>
  <si>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</si>
  <si>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</si>
  <si>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</si>
  <si>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</si>
  <si>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</si>
  <si>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</si>
  <si>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</si>
  <si>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</si>
  <si>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</si>
  <si>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</si>
  <si>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</si>
  <si>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</si>
  <si>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</si>
  <si>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</si>
  <si>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</si>
  <si>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</si>
  <si>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</si>
  <si>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</si>
  <si>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</si>
  <si>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</si>
  <si>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</si>
  <si>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</si>
  <si>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</si>
  <si>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</si>
  <si>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</si>
  <si>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</si>
  <si>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</si>
  <si>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</si>
  <si>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</si>
  <si>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</si>
  <si>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</si>
  <si>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</si>
  <si>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</si>
  <si>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</si>
  <si>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</si>
  <si>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</si>
  <si>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</si>
  <si>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</si>
  <si>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</si>
  <si>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</si>
  <si>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</si>
  <si>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</si>
  <si>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</si>
  <si>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</si>
  <si>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</si>
  <si>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</si>
  <si>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</si>
  <si>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</si>
  <si>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</si>
  <si>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</si>
  <si>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</si>
  <si>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</si>
  <si>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</si>
  <si>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</si>
  <si>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</si>
  <si>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</si>
  <si>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</si>
  <si>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</si>
  <si>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</si>
  <si>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</si>
  <si>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</si>
  <si>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</si>
  <si>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</si>
  <si>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</si>
  <si>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</si>
  <si>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</si>
  <si>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</si>
  <si>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</si>
  <si>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</si>
  <si>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</si>
  <si>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</si>
  <si>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</si>
  <si>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</si>
  <si>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</si>
  <si>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</si>
  <si>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</si>
  <si>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</si>
  <si>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</si>
  <si>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</si>
  <si>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</si>
  <si>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</si>
  <si>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</si>
  <si>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</si>
  <si>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</si>
  <si>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</si>
  <si>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</si>
  <si>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</si>
  <si>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</si>
  <si>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</si>
  <si>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</si>
  <si>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</si>
  <si>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</si>
  <si>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</si>
  <si>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</si>
  <si>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</si>
  <si>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</si>
  <si>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</si>
  <si>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</si>
  <si>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</si>
  <si>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</si>
  <si>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</si>
  <si>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</si>
  <si>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</si>
  <si>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</si>
  <si>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</si>
  <si>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</si>
  <si>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</si>
  <si>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</si>
  <si>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</si>
  <si>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</si>
  <si>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</si>
  <si>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</si>
  <si>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</si>
  <si>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</si>
  <si>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</si>
  <si>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</si>
  <si>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</si>
  <si>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</si>
  <si>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</si>
  <si>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</si>
  <si>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</si>
  <si>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</si>
  <si>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</si>
  <si>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</si>
  <si>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</si>
  <si>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</si>
  <si>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</si>
  <si>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</si>
  <si>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</si>
  <si>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</si>
  <si>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</si>
  <si>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</si>
  <si>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</si>
  <si>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</si>
  <si>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</si>
  <si>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</si>
  <si>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</si>
  <si>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</si>
  <si>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</si>
  <si>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</si>
  <si>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</si>
  <si>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</si>
  <si>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</si>
  <si>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</si>
  <si>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</si>
  <si>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</si>
  <si>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</si>
  <si>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</si>
  <si>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</si>
  <si>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</si>
  <si>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</si>
  <si>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</si>
  <si>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</si>
  <si>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</si>
  <si>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</si>
  <si>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</si>
  <si>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</si>
  <si>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</si>
  <si>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</si>
  <si>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</si>
  <si>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</si>
  <si>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</si>
  <si>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</si>
  <si>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</si>
  <si>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</si>
  <si>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</si>
  <si>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</si>
  <si>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</si>
  <si>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</si>
  <si>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</si>
  <si>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</si>
  <si>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</si>
  <si>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</si>
  <si>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</si>
  <si>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</si>
  <si>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</si>
  <si>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</si>
  <si>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</si>
  <si>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</si>
  <si>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</si>
  <si>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</si>
  <si>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</si>
  <si>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</si>
  <si>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</si>
  <si>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</si>
  <si>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</si>
  <si>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</si>
  <si>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</si>
  <si>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</si>
  <si>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</si>
  <si>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</si>
  <si>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</si>
  <si>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</si>
  <si>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</si>
  <si>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</si>
  <si>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</si>
  <si>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</si>
  <si>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</si>
  <si>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</si>
  <si>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</si>
  <si>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</si>
  <si>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</si>
  <si>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</si>
  <si>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</si>
  <si>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</si>
  <si>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</si>
  <si>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</si>
  <si>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</si>
  <si>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</si>
  <si>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</si>
  <si>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</si>
  <si>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</si>
  <si>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</si>
  <si>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</si>
  <si>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</si>
  <si>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</si>
  <si>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</si>
  <si>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</si>
  <si>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</si>
  <si>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</si>
  <si>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</si>
  <si>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</si>
  <si>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</si>
  <si>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</si>
  <si>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</si>
  <si>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</si>
  <si>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</si>
  <si>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</si>
  <si>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</si>
  <si>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</si>
  <si>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</si>
  <si>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</si>
  <si>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</si>
  <si>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</si>
  <si>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</si>
  <si>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</si>
  <si>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</si>
  <si>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</si>
  <si>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</si>
  <si>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</si>
  <si>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</si>
  <si>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</si>
  <si>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</si>
  <si>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</si>
  <si>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</si>
  <si>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</si>
  <si>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</si>
  <si>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</si>
  <si>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</si>
  <si>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</si>
  <si>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</si>
  <si>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</si>
  <si>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</si>
  <si>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</si>
  <si>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</si>
  <si>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</si>
  <si>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</si>
  <si>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</si>
  <si>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</si>
  <si>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</si>
  <si>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</si>
  <si>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</si>
  <si>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</si>
  <si>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</si>
  <si>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</si>
  <si>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</si>
  <si>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</si>
  <si>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</si>
  <si>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</si>
  <si>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</si>
  <si>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</si>
  <si>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</si>
  <si>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</si>
  <si>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</si>
  <si>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</si>
  <si>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</si>
  <si>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</si>
  <si>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</si>
  <si>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</si>
  <si>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</si>
  <si>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</si>
  <si>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</si>
  <si>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</si>
  <si>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</si>
  <si>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</si>
  <si>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</si>
  <si>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</si>
  <si>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</si>
  <si>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</si>
  <si>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</si>
  <si>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</si>
  <si>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</si>
  <si>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</si>
  <si>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</si>
  <si>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</si>
  <si>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</si>
  <si>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</si>
  <si>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</si>
  <si>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</si>
  <si>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</si>
  <si>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</si>
  <si>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</si>
  <si>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</si>
  <si>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</si>
  <si>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</si>
  <si>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</si>
  <si>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</si>
  <si>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</si>
  <si>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</si>
  <si>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</si>
  <si>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</si>
  <si>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</si>
  <si>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</si>
  <si>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</si>
  <si>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</si>
  <si>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</si>
  <si>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</si>
  <si>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</si>
  <si>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</si>
  <si>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</si>
  <si>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</si>
  <si>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</si>
  <si>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</si>
  <si>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</si>
  <si>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</si>
  <si>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</si>
  <si>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</si>
  <si>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</si>
  <si>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</si>
  <si>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</si>
  <si>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</si>
  <si>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</si>
  <si>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</si>
  <si>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</si>
  <si>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</si>
  <si>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</si>
  <si>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</si>
  <si>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</si>
  <si>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</si>
  <si>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</si>
  <si>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</si>
  <si>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</si>
  <si>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</si>
  <si>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</si>
  <si>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</si>
  <si>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</si>
  <si>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</si>
  <si>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</si>
  <si>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</si>
  <si>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</si>
  <si>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</si>
  <si>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</si>
  <si>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</si>
  <si>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</si>
  <si>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</si>
  <si>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</si>
  <si>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</si>
  <si>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</si>
  <si>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</si>
  <si>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</si>
  <si>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</si>
  <si>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</si>
  <si>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</si>
  <si>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</si>
  <si>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</si>
  <si>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</si>
  <si>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</si>
  <si>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</si>
  <si>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</si>
  <si>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</si>
  <si>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</si>
  <si>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</si>
  <si>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</si>
  <si>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</si>
  <si>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</si>
  <si>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</si>
  <si>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</si>
  <si>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</si>
  <si>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</si>
  <si>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</si>
  <si>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</si>
  <si>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</si>
  <si>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</si>
  <si>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</si>
  <si>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</si>
  <si>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</si>
  <si>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</si>
  <si>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</si>
  <si>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</si>
  <si>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</si>
  <si>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</si>
  <si>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</si>
  <si>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</si>
  <si>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</si>
  <si>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</si>
  <si>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</si>
  <si>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</si>
  <si>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</si>
  <si>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</si>
  <si>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</si>
  <si>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</si>
  <si>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</si>
  <si>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</si>
  <si>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</si>
  <si>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</si>
  <si>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</si>
  <si>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</si>
  <si>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</si>
  <si>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</si>
  <si>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</si>
  <si>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</si>
  <si>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</si>
  <si>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</si>
  <si>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</si>
  <si>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</si>
  <si>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</si>
  <si>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</si>
  <si>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</si>
  <si>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</si>
  <si>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</si>
  <si>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</si>
  <si>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</si>
  <si>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</si>
  <si>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</si>
  <si>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</si>
  <si>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</si>
  <si>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</si>
  <si>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</si>
  <si>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</si>
  <si>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</si>
  <si>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</si>
  <si>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</si>
  <si>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</si>
  <si>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</si>
  <si>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</si>
  <si>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</si>
  <si>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</si>
  <si>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</si>
  <si>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</si>
  <si>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</si>
  <si>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</si>
  <si>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</si>
  <si>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</si>
  <si>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</si>
  <si>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</si>
  <si>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</si>
  <si>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</si>
  <si>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</si>
  <si>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</si>
  <si>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</si>
  <si>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</si>
  <si>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</si>
  <si>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</si>
  <si>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</si>
  <si>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</si>
  <si>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</si>
  <si>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</si>
  <si>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</si>
  <si>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</si>
  <si>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</si>
  <si>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</si>
  <si>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</si>
  <si>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</si>
  <si>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</si>
  <si>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</si>
  <si>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</si>
  <si>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</si>
  <si>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</si>
  <si>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</si>
  <si>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</si>
  <si>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</si>
  <si>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</si>
  <si>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</si>
  <si>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</si>
  <si>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</si>
  <si>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</si>
  <si>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</si>
  <si>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</si>
  <si>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</si>
  <si>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</si>
  <si>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</si>
  <si>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</si>
  <si>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</si>
  <si>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</si>
  <si>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</si>
  <si>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</si>
  <si>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</si>
  <si>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</si>
  <si>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</si>
  <si>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</si>
  <si>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</si>
  <si>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</si>
  <si>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</si>
  <si>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</si>
  <si>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</si>
  <si>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</si>
  <si>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</si>
  <si>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</si>
  <si>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</si>
  <si>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</si>
  <si>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</si>
  <si>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</si>
  <si>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</si>
  <si>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</si>
  <si>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</si>
  <si>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</si>
  <si>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</si>
  <si>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</si>
  <si>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</si>
  <si>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</si>
  <si>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</si>
  <si>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</si>
  <si>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</si>
  <si>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</si>
  <si>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</si>
  <si>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</si>
  <si>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</si>
  <si>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</si>
  <si>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</si>
  <si>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</si>
  <si>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</si>
  <si>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</si>
  <si>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</si>
  <si>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</si>
  <si>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</si>
  <si>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</si>
  <si>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</si>
  <si>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</si>
  <si>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</si>
  <si>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</si>
  <si>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</si>
  <si>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</si>
  <si>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</si>
  <si>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</si>
  <si>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</si>
  <si>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</si>
  <si>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</si>
  <si>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</si>
  <si>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</si>
  <si>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</si>
  <si>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</si>
  <si>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</si>
  <si>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</si>
  <si>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</si>
  <si>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</si>
  <si>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</si>
  <si>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</si>
  <si>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</si>
  <si>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</si>
  <si>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</si>
  <si>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</si>
  <si>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</si>
  <si>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</si>
  <si>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</si>
  <si>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</si>
  <si>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</si>
  <si>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</si>
  <si>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</si>
  <si>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</si>
  <si>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</si>
  <si>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</si>
  <si>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</si>
  <si>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</si>
  <si>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</si>
  <si>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</si>
  <si>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</si>
  <si>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</si>
  <si>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</si>
  <si>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</si>
  <si>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</si>
  <si>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</si>
  <si>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</si>
  <si>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</si>
  <si>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</si>
  <si>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</si>
  <si>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</si>
  <si>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</si>
  <si>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</si>
  <si>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</si>
  <si>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</si>
  <si>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</si>
  <si>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</si>
  <si>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</si>
  <si>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</si>
  <si>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</si>
  <si>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</si>
  <si>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</si>
  <si>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</si>
  <si>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</si>
  <si>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</si>
  <si>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</si>
  <si>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</si>
  <si>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</si>
  <si>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</si>
  <si>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</si>
  <si>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</si>
  <si>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</si>
  <si>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</si>
  <si>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</si>
  <si>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</si>
  <si>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</si>
  <si>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</si>
  <si>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</si>
  <si>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</si>
  <si>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</si>
  <si>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</si>
  <si>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</si>
  <si>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</si>
  <si>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</si>
  <si>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</si>
  <si>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</si>
  <si>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</si>
  <si>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</si>
  <si>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</si>
  <si>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</si>
  <si>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</si>
  <si>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</si>
  <si>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</si>
  <si>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</si>
  <si>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</si>
  <si>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</si>
  <si>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</si>
  <si>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</si>
  <si>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</si>
  <si>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</si>
  <si>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</si>
  <si>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</si>
  <si>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</si>
  <si>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</si>
  <si>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</si>
  <si>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</si>
  <si>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</si>
  <si>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</si>
  <si>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</si>
  <si>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</si>
  <si>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</si>
  <si>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</si>
  <si>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</si>
  <si>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</si>
  <si>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</si>
  <si>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</si>
  <si>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</si>
  <si>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</si>
  <si>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</si>
  <si>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</si>
  <si>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</si>
  <si>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</si>
  <si>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</si>
  <si>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</si>
  <si>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</si>
  <si>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</si>
  <si>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</si>
  <si>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</si>
  <si>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</si>
  <si>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</si>
  <si>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</si>
  <si>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</si>
  <si>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</si>
  <si>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</si>
  <si>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</si>
  <si>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</si>
  <si>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</si>
  <si>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</si>
  <si>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</si>
  <si>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</si>
  <si>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</si>
  <si>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</si>
  <si>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</si>
  <si>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</si>
  <si>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</si>
  <si>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</si>
  <si>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</si>
  <si>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</si>
  <si>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</si>
  <si>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</si>
  <si>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</si>
  <si>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</si>
  <si>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</si>
  <si>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</si>
  <si>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</si>
  <si>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</si>
  <si>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</si>
  <si>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</si>
  <si>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</si>
  <si>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</si>
  <si>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</si>
  <si>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</si>
  <si>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</si>
  <si>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</si>
  <si>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</si>
  <si>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</si>
  <si>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</si>
  <si>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</si>
  <si>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</si>
  <si>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</si>
  <si>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</si>
  <si>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</si>
  <si>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</si>
  <si>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</si>
  <si>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</si>
  <si>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</si>
  <si>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</si>
  <si>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</si>
  <si>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</si>
  <si>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</si>
  <si>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</si>
  <si>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</si>
  <si>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</si>
  <si>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</si>
  <si>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</si>
  <si>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</si>
  <si>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</si>
  <si>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</si>
  <si>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</si>
  <si>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</si>
  <si>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</si>
  <si>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</si>
  <si>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</si>
  <si>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</si>
  <si>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</si>
  <si>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</si>
  <si>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</si>
  <si>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</si>
  <si>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</si>
  <si>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</si>
  <si>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</si>
  <si>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</si>
  <si>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</si>
  <si>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</si>
  <si>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</si>
  <si>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</si>
  <si>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</si>
  <si>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</si>
  <si>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</si>
  <si>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</si>
  <si>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</si>
  <si>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</si>
  <si>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</si>
  <si>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</si>
  <si>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</si>
  <si>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</si>
  <si>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</si>
  <si>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</si>
  <si>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</si>
  <si>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</si>
  <si>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</si>
  <si>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</si>
  <si>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</si>
  <si>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</si>
  <si>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</si>
  <si>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</si>
  <si>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</si>
  <si>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</si>
  <si>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</si>
  <si>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</si>
  <si>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</si>
  <si>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</si>
  <si>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</si>
  <si>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</si>
  <si>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</si>
  <si>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</si>
  <si>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</si>
  <si>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</si>
  <si>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</si>
  <si>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</si>
  <si>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</si>
  <si>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</si>
  <si>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</si>
  <si>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</si>
  <si>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</si>
  <si>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</si>
  <si>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</si>
  <si>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</si>
  <si>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</si>
  <si>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</si>
  <si>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</si>
  <si>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</si>
  <si>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</si>
  <si>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</si>
  <si>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</si>
  <si>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</si>
  <si>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</si>
  <si>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</si>
  <si>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</si>
  <si>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</si>
  <si>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</si>
  <si>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</si>
  <si>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</si>
  <si>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</si>
  <si>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</si>
  <si>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</si>
  <si>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</si>
  <si>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</si>
  <si>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</si>
  <si>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</si>
  <si>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</si>
  <si>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</si>
  <si>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</si>
  <si>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</si>
  <si>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</si>
  <si>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</si>
  <si>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</si>
  <si>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</si>
  <si>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</si>
  <si>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</si>
  <si>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</si>
  <si>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</si>
  <si>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</si>
  <si>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</si>
  <si>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</si>
  <si>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</si>
  <si>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</si>
  <si>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</si>
  <si>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</si>
  <si>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</si>
  <si>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</si>
  <si>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</si>
  <si>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</si>
  <si>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</si>
  <si>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</si>
  <si>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</si>
  <si>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</si>
  <si>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</si>
  <si>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</si>
  <si>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</si>
  <si>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</si>
  <si>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</si>
  <si>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</si>
  <si>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</si>
  <si>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</si>
  <si>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</si>
  <si>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</si>
  <si>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</si>
  <si>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</si>
  <si>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</si>
  <si>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</si>
  <si>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</si>
  <si>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</si>
  <si>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</si>
  <si>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</si>
  <si>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</si>
  <si>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</si>
  <si>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</si>
  <si>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</si>
  <si>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</si>
  <si>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</si>
  <si>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</si>
  <si>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</si>
  <si>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</si>
  <si>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</si>
  <si>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</si>
  <si>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</si>
  <si>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</si>
  <si>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</si>
  <si>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</si>
  <si>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</si>
  <si>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</si>
  <si>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</si>
  <si>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</si>
  <si>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</si>
  <si>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</si>
  <si>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</si>
  <si>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</si>
  <si>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</si>
  <si>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</si>
  <si>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</si>
  <si>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</si>
  <si>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</si>
  <si>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</si>
  <si>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</si>
  <si>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</si>
  <si>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</si>
  <si>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</si>
  <si>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</si>
  <si>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</si>
  <si>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</si>
  <si>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</si>
  <si>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</si>
  <si>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</si>
  <si>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</si>
  <si>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</si>
  <si>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</si>
  <si>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</si>
  <si>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</si>
  <si>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</si>
  <si>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</si>
  <si>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</si>
  <si>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</si>
  <si>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</si>
  <si>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</si>
  <si>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</si>
  <si>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</si>
  <si>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</si>
  <si>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</si>
  <si>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</si>
  <si>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</si>
  <si>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</si>
  <si>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</si>
  <si>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</si>
  <si>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</si>
  <si>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</si>
  <si>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</si>
  <si>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</si>
  <si>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</si>
  <si>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</si>
  <si>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</si>
  <si>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</si>
  <si>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</si>
  <si>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</si>
  <si>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</si>
  <si>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</si>
  <si>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</si>
  <si>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</si>
  <si>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</si>
  <si>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</si>
  <si>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</si>
  <si>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</si>
  <si>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</si>
  <si>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</si>
  <si>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</si>
  <si>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</si>
  <si>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</si>
  <si>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</si>
  <si>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</si>
  <si>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</si>
  <si>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</si>
  <si>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</si>
  <si>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</si>
  <si>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</si>
  <si>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</si>
  <si>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</si>
  <si>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</si>
  <si>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</si>
  <si>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</si>
  <si>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</si>
  <si>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</si>
  <si>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</si>
  <si>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</si>
  <si>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</si>
  <si>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</si>
  <si>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</si>
  <si>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</si>
  <si>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</si>
  <si>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</si>
  <si>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</si>
  <si>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</si>
  <si>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</si>
  <si>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</si>
  <si>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</si>
  <si>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</si>
  <si>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</si>
  <si>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</si>
  <si>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</si>
  <si>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</si>
  <si>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</si>
  <si>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</si>
  <si>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</si>
  <si>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</si>
  <si>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</si>
  <si>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</si>
  <si>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</si>
  <si>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</si>
  <si>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</si>
  <si>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</si>
  <si>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</si>
  <si>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</si>
  <si>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</si>
  <si>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</si>
  <si>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</si>
  <si>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</si>
  <si>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</si>
  <si>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</si>
  <si>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</si>
  <si>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</si>
  <si>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</si>
  <si>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</si>
  <si>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</si>
  <si>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</si>
  <si>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</si>
  <si>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</si>
  <si>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</si>
  <si>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</si>
  <si>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</si>
  <si>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</si>
  <si>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</si>
  <si>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</si>
  <si>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</si>
  <si>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</si>
  <si>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</si>
  <si>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</si>
  <si>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</si>
  <si>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</si>
  <si>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</si>
  <si>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</si>
  <si>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</si>
  <si>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</si>
  <si>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</si>
  <si>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</si>
  <si>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</si>
  <si>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</si>
  <si>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</si>
  <si>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</si>
  <si>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</si>
  <si>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</si>
  <si>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</si>
  <si>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</si>
  <si>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</si>
  <si>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</si>
  <si>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</si>
  <si>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</si>
  <si>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</si>
  <si>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</si>
  <si>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</si>
  <si>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</si>
  <si>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</si>
  <si>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</si>
  <si>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</si>
  <si>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</si>
  <si>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</si>
  <si>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</si>
  <si>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</si>
  <si>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</si>
  <si>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</si>
  <si>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</si>
  <si>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</si>
  <si>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</si>
  <si>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</si>
  <si>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</si>
  <si>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</si>
  <si>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</si>
  <si>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</si>
  <si>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</si>
  <si>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</si>
  <si>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</si>
  <si>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</si>
  <si>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</si>
  <si>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</si>
  <si>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</si>
  <si>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</si>
  <si>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</si>
  <si>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</si>
  <si>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</si>
  <si>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</si>
  <si>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</si>
  <si>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</si>
  <si>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</si>
  <si>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</si>
  <si>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</si>
  <si>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</si>
  <si>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</si>
  <si>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</si>
  <si>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</si>
  <si>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</si>
  <si>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</si>
  <si>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</si>
  <si>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</si>
  <si>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</si>
  <si>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</si>
  <si>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</si>
  <si>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</si>
  <si>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</si>
  <si>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</si>
  <si>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</si>
  <si>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</si>
  <si>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</si>
  <si>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</si>
  <si>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</si>
  <si>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</si>
  <si>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</si>
  <si>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</si>
  <si>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</si>
  <si>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</si>
  <si>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</si>
  <si>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</si>
  <si>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</si>
  <si>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</si>
  <si>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</si>
  <si>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</si>
  <si>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</si>
  <si>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</si>
  <si>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</si>
  <si>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</si>
  <si>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</si>
  <si>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</si>
  <si>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</si>
  <si>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</si>
  <si>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</si>
  <si>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</si>
  <si>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</si>
  <si>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</si>
  <si>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</si>
  <si>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</si>
  <si>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</si>
  <si>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</si>
  <si>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</si>
  <si>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</si>
  <si>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</si>
  <si>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</si>
  <si>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</si>
  <si>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</si>
  <si>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</si>
  <si>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</si>
  <si>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</si>
  <si>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</si>
  <si>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</si>
  <si>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</si>
  <si>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</si>
  <si>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</si>
  <si>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</si>
  <si>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</si>
  <si>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</si>
  <si>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</si>
  <si>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</si>
  <si>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</si>
  <si>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</si>
  <si>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</si>
  <si>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</si>
  <si>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</si>
  <si>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</si>
  <si>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</si>
  <si>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</si>
  <si>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</si>
  <si>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</si>
  <si>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</si>
  <si>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</si>
  <si>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</si>
  <si>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</si>
  <si>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</si>
  <si>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</si>
  <si>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</si>
  <si>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</si>
  <si>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</si>
  <si>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</si>
  <si>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</si>
  <si>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</si>
  <si>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</si>
  <si>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</si>
  <si>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</si>
  <si>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</si>
  <si>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</si>
  <si>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</si>
  <si>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</si>
  <si>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</si>
  <si>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</si>
  <si>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</si>
  <si>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</si>
  <si>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</si>
  <si>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</si>
  <si>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</si>
  <si>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</si>
  <si>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</si>
  <si>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</si>
  <si>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</si>
  <si>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</si>
  <si>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</si>
  <si>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</si>
  <si>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</si>
  <si>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</si>
  <si>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</si>
  <si>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</si>
  <si>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</si>
  <si>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</si>
  <si>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</si>
  <si>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</si>
  <si>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</si>
  <si>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</si>
  <si>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</si>
  <si>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</si>
  <si>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</si>
  <si>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</si>
  <si>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</si>
  <si>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</si>
  <si>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</si>
  <si>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</si>
  <si>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</si>
  <si>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</si>
  <si>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</si>
  <si>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</si>
  <si>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</si>
  <si>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</si>
  <si>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</si>
  <si>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</si>
  <si>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</si>
  <si>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</si>
  <si>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</si>
  <si>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</si>
  <si>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</si>
  <si>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</si>
  <si>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</si>
  <si>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</si>
  <si>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</si>
  <si>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</si>
  <si>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</si>
  <si>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</si>
  <si>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</si>
  <si>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</si>
  <si>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</si>
  <si>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</si>
  <si>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</si>
  <si>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</si>
  <si>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</si>
  <si>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</si>
  <si>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</si>
  <si>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</si>
  <si>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</si>
  <si>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</si>
  <si>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</si>
  <si>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</si>
  <si>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</si>
  <si>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</si>
  <si>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</si>
  <si>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</si>
  <si>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</si>
  <si>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</si>
  <si>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</si>
  <si>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</si>
  <si>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</si>
  <si>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</si>
  <si>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</si>
  <si>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</si>
  <si>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</si>
  <si>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</si>
  <si>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</si>
  <si>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</si>
  <si>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</si>
  <si>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</si>
  <si>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</si>
  <si>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</si>
  <si>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</si>
  <si>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</si>
  <si>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</si>
  <si>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</si>
  <si>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</si>
  <si>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</si>
  <si>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</si>
  <si>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</si>
  <si>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</si>
  <si>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</si>
  <si>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</si>
  <si>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</si>
  <si>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</si>
  <si>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</si>
  <si>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</si>
  <si>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</si>
  <si>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</si>
  <si>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</si>
  <si>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</si>
  <si>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</si>
  <si>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</si>
  <si>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</si>
  <si>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</si>
  <si>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</si>
  <si>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</si>
  <si>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</si>
  <si>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</si>
  <si>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</si>
  <si>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</si>
  <si>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</si>
  <si>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</si>
  <si>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</si>
  <si>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</si>
  <si>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</si>
  <si>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</si>
  <si>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</si>
  <si>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</si>
  <si>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</si>
  <si>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</si>
  <si>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</si>
  <si>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</si>
  <si>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</si>
  <si>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</si>
  <si>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</si>
  <si>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</si>
  <si>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</si>
  <si>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</si>
  <si>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</si>
  <si>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</si>
  <si>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</si>
  <si>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</si>
  <si>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</si>
  <si>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</si>
  <si>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</si>
  <si>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</si>
  <si>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</si>
  <si>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</si>
  <si>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</si>
  <si>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</si>
  <si>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</si>
  <si>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</si>
  <si>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</si>
  <si>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</si>
  <si>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</si>
  <si>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</si>
  <si>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</si>
  <si>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</si>
  <si>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</si>
  <si>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</si>
  <si>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</si>
  <si>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</si>
  <si>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</si>
  <si>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</si>
  <si>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</si>
  <si>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</si>
  <si>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</si>
  <si>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</si>
  <si>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</si>
  <si>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</si>
  <si>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</si>
  <si>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</si>
  <si>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</si>
  <si>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</si>
  <si>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</si>
  <si>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</si>
  <si>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</si>
  <si>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</si>
  <si>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</si>
  <si>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</si>
  <si>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</si>
  <si>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</si>
  <si>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</si>
  <si>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</si>
  <si>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</si>
  <si>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</si>
  <si>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</si>
  <si>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</si>
  <si>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</si>
  <si>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</si>
  <si>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</si>
  <si>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</si>
  <si>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</si>
  <si>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</si>
  <si>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</si>
  <si>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</si>
  <si>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</si>
  <si>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</si>
  <si>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</si>
  <si>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</si>
  <si>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</si>
  <si>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</si>
  <si>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</si>
  <si>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</si>
  <si>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</si>
  <si>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</si>
  <si>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</si>
  <si>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</si>
  <si>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</si>
  <si>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</si>
  <si>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</si>
  <si>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</si>
  <si>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</si>
  <si>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</si>
  <si>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</si>
  <si>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</si>
  <si>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</si>
  <si>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</si>
  <si>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</si>
  <si>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</si>
  <si>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</si>
  <si>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</si>
  <si>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</si>
  <si>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</si>
  <si>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</si>
  <si>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</si>
  <si>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</si>
  <si>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</si>
  <si>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</si>
  <si>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</si>
  <si>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</si>
  <si>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</si>
  <si>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</si>
  <si>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</si>
  <si>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</si>
  <si>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</si>
  <si>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</si>
  <si>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</si>
  <si>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</si>
  <si>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</si>
  <si>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</si>
  <si>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</si>
  <si>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</si>
  <si>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</si>
  <si>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</si>
  <si>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</si>
  <si>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</si>
  <si>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</si>
  <si>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</si>
  <si>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</si>
  <si>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</si>
  <si>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</si>
  <si>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</si>
  <si>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</si>
  <si>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</si>
  <si>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</si>
  <si>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</si>
  <si>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</si>
  <si>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</si>
  <si>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</si>
  <si>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</si>
  <si>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</si>
  <si>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</si>
  <si>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</si>
  <si>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</si>
  <si>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</si>
  <si>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</si>
  <si>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</si>
  <si>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</si>
  <si>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</si>
  <si>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</si>
  <si>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</si>
  <si>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</si>
  <si>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</si>
  <si>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</si>
  <si>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</si>
  <si>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</si>
  <si>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</si>
  <si>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</si>
  <si>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</si>
  <si>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</si>
  <si>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</si>
  <si>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</si>
  <si>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</si>
  <si>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</si>
  <si>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</si>
  <si>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</si>
  <si>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</si>
  <si>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</si>
  <si>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</si>
  <si>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</si>
  <si>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</si>
  <si>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</si>
  <si>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</si>
  <si>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</si>
  <si>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</si>
  <si>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</si>
  <si>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</si>
  <si>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</si>
  <si>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</si>
  <si>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</si>
  <si>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</si>
  <si>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</si>
  <si>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</si>
  <si>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</si>
  <si>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</si>
  <si>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</si>
  <si>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</si>
  <si>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</si>
  <si>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</si>
  <si>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</si>
  <si>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</si>
  <si>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</si>
  <si>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</si>
  <si>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</si>
  <si>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</si>
  <si>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</si>
  <si>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</si>
  <si>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</si>
  <si>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</si>
  <si>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</si>
  <si>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</si>
  <si>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</si>
  <si>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</si>
  <si>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</si>
  <si>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</si>
  <si>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</si>
  <si>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</si>
  <si>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</si>
  <si>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</si>
  <si>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</si>
  <si>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</si>
  <si>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</si>
  <si>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</si>
  <si>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</si>
  <si>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</si>
  <si>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</si>
  <si>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</si>
  <si>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</si>
  <si>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</si>
  <si>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</si>
  <si>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</si>
  <si>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</si>
  <si>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</si>
  <si>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</si>
  <si>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</si>
  <si>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</si>
  <si>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</si>
  <si>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</si>
  <si>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</si>
  <si>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</si>
  <si>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</si>
  <si>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</si>
  <si>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</si>
  <si>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</si>
  <si>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</si>
  <si>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</si>
  <si>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</si>
  <si>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</si>
  <si>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</si>
  <si>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</si>
  <si>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</si>
  <si>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</si>
  <si>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</si>
  <si>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</si>
  <si>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</si>
  <si>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</si>
  <si>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</si>
  <si>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</si>
  <si>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</si>
  <si>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</si>
  <si>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</si>
  <si>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</si>
  <si>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</si>
  <si>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</si>
  <si>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</si>
  <si>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</si>
  <si>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</si>
  <si>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</si>
  <si>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</si>
  <si>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</si>
  <si>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</si>
  <si>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</si>
  <si>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</si>
  <si>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</si>
  <si>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</si>
  <si>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</si>
  <si>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</si>
  <si>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</si>
  <si>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</si>
  <si>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</si>
  <si>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</si>
  <si>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</si>
  <si>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</si>
  <si>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</si>
  <si>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</si>
  <si>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</si>
  <si>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</si>
  <si>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</si>
  <si>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</si>
  <si>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</si>
  <si>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</si>
  <si>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</si>
  <si>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</si>
  <si>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</si>
  <si>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</si>
  <si>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</si>
  <si>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</si>
  <si>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</si>
  <si>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</si>
  <si>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</si>
  <si>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</si>
  <si>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</si>
  <si>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</si>
  <si>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</si>
  <si>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</si>
  <si>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</si>
  <si>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</si>
  <si>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</si>
  <si>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</si>
  <si>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</si>
  <si>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</si>
  <si>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</si>
  <si>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</si>
  <si>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</si>
  <si>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</si>
  <si>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</si>
  <si>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</si>
  <si>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</si>
  <si>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</si>
  <si>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</si>
  <si>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</si>
  <si>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</si>
  <si>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</si>
  <si>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</si>
  <si>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</si>
  <si>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</si>
  <si>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</si>
  <si>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</si>
  <si>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</si>
  <si>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</si>
  <si>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</si>
  <si>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</si>
  <si>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</si>
  <si>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</si>
  <si>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</si>
  <si>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</si>
  <si>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</si>
  <si>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</si>
  <si>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</si>
  <si>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</si>
  <si>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</si>
  <si>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</si>
  <si>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</si>
  <si>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</si>
  <si>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</si>
  <si>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</si>
  <si>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</si>
  <si>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</si>
  <si>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</si>
  <si>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</si>
  <si>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</si>
  <si>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</si>
  <si>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</si>
  <si>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</si>
  <si>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</si>
  <si>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</si>
  <si>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</si>
  <si>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</si>
  <si>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</si>
  <si>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</si>
  <si>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</si>
  <si>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</si>
  <si>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</si>
  <si>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</si>
  <si>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</si>
  <si>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</si>
  <si>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</si>
  <si>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</si>
  <si>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</si>
  <si>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</si>
  <si>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</si>
  <si>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</si>
  <si>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</si>
  <si>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</si>
  <si>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</si>
  <si>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</si>
  <si>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</si>
  <si>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</si>
  <si>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</si>
  <si>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</si>
  <si>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</si>
  <si>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</si>
  <si>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</si>
  <si>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</si>
  <si>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</si>
  <si>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</si>
  <si>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</si>
  <si>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</si>
  <si>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</si>
  <si>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</si>
  <si>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</si>
  <si>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</si>
  <si>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</si>
  <si>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</si>
  <si>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</si>
  <si>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</si>
  <si>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</si>
  <si>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</si>
  <si>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</si>
  <si>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</si>
  <si>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</si>
  <si>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</si>
  <si>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</si>
  <si>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</si>
  <si>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</si>
  <si>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</si>
  <si>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</si>
  <si>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</si>
  <si>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</si>
  <si>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</si>
  <si>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</si>
  <si>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</si>
  <si>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</si>
  <si>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</si>
  <si>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</si>
  <si>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</si>
  <si>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</si>
  <si>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</si>
  <si>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</si>
  <si>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</si>
  <si>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</si>
  <si>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</si>
  <si>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</si>
  <si>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</si>
  <si>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</si>
  <si>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</si>
  <si>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</si>
  <si>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</si>
  <si>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</si>
  <si>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</si>
  <si>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</si>
  <si>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</si>
  <si>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</si>
  <si>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</si>
  <si>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</si>
  <si>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</si>
  <si>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</si>
  <si>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</si>
  <si>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</si>
  <si>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</si>
  <si>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</si>
  <si>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</si>
  <si>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</si>
  <si>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</si>
  <si>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</si>
  <si>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</si>
  <si>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</si>
  <si>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</si>
  <si>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</si>
  <si>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</si>
  <si>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</si>
  <si>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</si>
  <si>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</si>
  <si>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</si>
  <si>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</si>
  <si>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</si>
  <si>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</si>
  <si>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</si>
  <si>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</si>
  <si>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</si>
  <si>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</si>
  <si>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</si>
  <si>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</si>
  <si>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</si>
  <si>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</si>
  <si>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</si>
  <si>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</si>
  <si>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</si>
  <si>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</si>
  <si>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</si>
  <si>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</si>
  <si>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</si>
  <si>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</si>
  <si>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</si>
  <si>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</si>
  <si>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</si>
  <si>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</si>
  <si>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</si>
  <si>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</si>
  <si>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</si>
  <si>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</si>
  <si>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</si>
  <si>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</si>
  <si>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</si>
  <si>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</si>
  <si>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</si>
  <si>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</si>
  <si>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</si>
  <si>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</si>
  <si>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</si>
  <si>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</si>
  <si>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</si>
  <si>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</si>
  <si>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</si>
  <si>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</si>
  <si>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</si>
  <si>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</si>
  <si>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</si>
  <si>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</si>
  <si>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</si>
  <si>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</si>
  <si>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</si>
  <si>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</si>
  <si>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</si>
  <si>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</si>
  <si>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</si>
  <si>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</si>
  <si>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</si>
  <si>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</si>
  <si>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</si>
  <si>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</si>
  <si>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</si>
  <si>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</si>
  <si>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</si>
  <si>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</si>
  <si>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</si>
  <si>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</si>
  <si>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</si>
  <si>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</si>
  <si>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</si>
  <si>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</si>
  <si>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</si>
  <si>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</si>
  <si>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</si>
  <si>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</si>
  <si>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</si>
  <si>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</si>
  <si>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</si>
  <si>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</si>
  <si>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</si>
  <si>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</si>
  <si>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</si>
  <si>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</si>
  <si>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</si>
  <si>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</si>
  <si>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</si>
  <si>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</si>
  <si>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</si>
  <si>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</si>
  <si>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</si>
  <si>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</si>
  <si>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</si>
  <si>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</si>
  <si>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</si>
  <si>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</si>
  <si>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</si>
  <si>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</si>
  <si>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</si>
  <si>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</si>
  <si>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</si>
  <si>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</si>
  <si>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</si>
  <si>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</si>
  <si>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</si>
  <si>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</si>
  <si>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</si>
  <si>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</si>
  <si>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</si>
  <si>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</si>
  <si>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</si>
  <si>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</si>
  <si>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</si>
  <si>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</si>
  <si>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</si>
  <si>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</si>
  <si>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</si>
  <si>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</si>
  <si>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</si>
  <si>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</si>
  <si>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</si>
  <si>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</si>
  <si>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</si>
  <si>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</si>
  <si>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</si>
  <si>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</si>
  <si>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</si>
  <si>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</si>
  <si>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</si>
  <si>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</si>
  <si>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</si>
  <si>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</si>
  <si>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</si>
  <si>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</si>
  <si>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</si>
  <si>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</si>
  <si>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</si>
  <si>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</si>
  <si>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</si>
  <si>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</si>
  <si>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</si>
  <si>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</si>
  <si>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</si>
  <si>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</si>
  <si>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</si>
  <si>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</si>
  <si>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</si>
  <si>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</si>
  <si>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</si>
  <si>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</si>
  <si>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</si>
  <si>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</si>
  <si>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</si>
  <si>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</si>
  <si>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</si>
  <si>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</si>
  <si>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</si>
  <si>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</si>
  <si>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</si>
  <si>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</si>
  <si>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</si>
  <si>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</si>
  <si>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</si>
  <si>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</si>
  <si>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</si>
  <si>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</si>
  <si>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</si>
  <si>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</si>
  <si>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</si>
  <si>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</si>
  <si>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</si>
  <si>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</si>
  <si>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</si>
  <si>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</si>
  <si>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</si>
  <si>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</si>
  <si>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</si>
  <si>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</si>
  <si>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</si>
  <si>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</si>
  <si>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</si>
  <si>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</si>
  <si>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</si>
  <si>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</si>
  <si>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</si>
  <si>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</si>
  <si>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</si>
  <si>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</si>
  <si>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</si>
  <si>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</si>
  <si>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</si>
  <si>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</si>
  <si>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</si>
  <si>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</si>
  <si>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</si>
  <si>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</si>
  <si>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</si>
  <si>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</si>
  <si>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</si>
  <si>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</si>
  <si>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</si>
  <si>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</si>
  <si>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</si>
  <si>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</si>
  <si>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</si>
  <si>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</si>
  <si>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</si>
  <si>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</si>
  <si>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</si>
  <si>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</si>
  <si>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</si>
  <si>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</si>
  <si>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</si>
  <si>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</si>
  <si>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</si>
  <si>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</si>
  <si>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</si>
  <si>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</si>
  <si>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</si>
  <si>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</si>
  <si>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</si>
  <si>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</si>
  <si>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</si>
  <si>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</si>
  <si>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</si>
  <si>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</si>
  <si>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</si>
  <si>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</si>
  <si>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</si>
  <si>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</si>
  <si>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</si>
  <si>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</si>
  <si>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</si>
  <si>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</si>
  <si>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</si>
  <si>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</si>
  <si>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</si>
  <si>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</si>
  <si>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</si>
  <si>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</si>
  <si>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</si>
  <si>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</si>
  <si>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</si>
  <si>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</si>
  <si>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</si>
  <si>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</si>
  <si>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</si>
  <si>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</si>
  <si>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</si>
  <si>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</si>
  <si>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</si>
  <si>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</si>
  <si>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</si>
  <si>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</si>
  <si>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</si>
  <si>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</si>
  <si>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</si>
  <si>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</si>
  <si>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</si>
  <si>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</si>
  <si>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</si>
  <si>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</si>
  <si>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</si>
  <si>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</si>
  <si>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</si>
  <si>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</si>
  <si>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</si>
  <si>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</si>
  <si>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</si>
  <si>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</si>
  <si>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</si>
  <si>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</si>
  <si>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</si>
  <si>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</si>
  <si>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</si>
  <si>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</si>
  <si>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</si>
  <si>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</si>
  <si>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</si>
  <si>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</si>
  <si>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</si>
  <si>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</si>
  <si>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</si>
  <si>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</si>
  <si>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</si>
  <si>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</si>
  <si>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</si>
  <si>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</si>
  <si>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</si>
  <si>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</si>
  <si>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</si>
  <si>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</si>
  <si>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</si>
  <si>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</si>
  <si>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</si>
  <si>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</si>
  <si>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</si>
  <si>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</si>
  <si>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</si>
  <si>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</si>
  <si>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</si>
  <si>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</si>
  <si>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</si>
  <si>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</si>
  <si>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</si>
  <si>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</si>
  <si>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</si>
  <si>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</si>
  <si>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</si>
  <si>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</si>
  <si>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</si>
  <si>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</si>
  <si>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</si>
  <si>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</si>
  <si>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</si>
  <si>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</si>
  <si>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</si>
  <si>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</si>
  <si>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</si>
  <si>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</si>
  <si>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</si>
  <si>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</si>
  <si>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</si>
  <si>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</si>
  <si>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</si>
  <si>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</si>
  <si>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</si>
  <si>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</si>
  <si>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</si>
  <si>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</si>
  <si>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</si>
  <si>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</si>
  <si>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</si>
  <si>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</si>
  <si>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</si>
  <si>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</si>
  <si>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</si>
  <si>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</si>
  <si>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</si>
  <si>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</si>
  <si>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</si>
  <si>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</si>
  <si>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</si>
  <si>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</si>
  <si>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</si>
  <si>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</si>
  <si>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</si>
  <si>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</si>
  <si>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</si>
  <si>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</si>
  <si>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</si>
  <si>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</si>
  <si>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</si>
  <si>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</si>
  <si>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</si>
  <si>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</si>
  <si>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</si>
  <si>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</si>
  <si>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</si>
  <si>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</si>
  <si>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</si>
  <si>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</si>
  <si>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</si>
  <si>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</si>
  <si>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</si>
  <si>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</si>
  <si>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</si>
  <si>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</si>
  <si>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</si>
  <si>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</si>
  <si>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</si>
  <si>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</si>
  <si>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</si>
  <si>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</si>
  <si>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</si>
  <si>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</si>
  <si>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</si>
  <si>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</si>
  <si>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</si>
  <si>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</si>
  <si>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</si>
  <si>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</si>
  <si>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</si>
  <si>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</si>
  <si>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</si>
  <si>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</si>
  <si>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</si>
  <si>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</si>
  <si>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</si>
  <si>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</si>
  <si>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</si>
  <si>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</si>
  <si>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</si>
  <si>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</si>
  <si>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</si>
  <si>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</si>
  <si>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</si>
  <si>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</si>
  <si>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</si>
  <si>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</si>
  <si>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</si>
  <si>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</si>
  <si>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</si>
  <si>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</si>
  <si>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</si>
  <si>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</si>
  <si>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</si>
  <si>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</si>
  <si>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</si>
  <si>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</si>
  <si>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</si>
  <si>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</si>
  <si>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</si>
  <si>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</si>
  <si>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</si>
  <si>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</si>
  <si>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</si>
  <si>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</si>
  <si>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</si>
  <si>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</si>
  <si>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</si>
  <si>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</si>
  <si>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</si>
  <si>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</si>
  <si>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</si>
  <si>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</si>
  <si>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</si>
  <si>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</si>
  <si>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</si>
  <si>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</si>
  <si>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</si>
  <si>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</si>
  <si>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</si>
  <si>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</si>
  <si>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</si>
  <si>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</si>
  <si>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</si>
  <si>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</si>
  <si>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</si>
  <si>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</si>
  <si>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</si>
  <si>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</si>
  <si>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</si>
  <si>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</si>
  <si>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</si>
  <si>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</si>
  <si>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</si>
  <si>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</si>
  <si>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</si>
  <si>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</si>
  <si>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</si>
  <si>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</si>
  <si>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</si>
  <si>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</si>
  <si>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</si>
  <si>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</si>
  <si>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</si>
  <si>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</si>
  <si>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</si>
  <si>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</si>
  <si>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</si>
  <si>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</si>
  <si>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</si>
  <si>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</si>
  <si>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</si>
  <si>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</si>
  <si>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</si>
  <si>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</si>
  <si>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</si>
  <si>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</si>
  <si>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</si>
  <si>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</si>
  <si>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</si>
  <si>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</si>
  <si>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</si>
  <si>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</si>
  <si>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</si>
  <si>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</si>
  <si>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</si>
  <si>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</si>
  <si>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</si>
  <si>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</si>
  <si>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</si>
  <si>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</si>
  <si>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</si>
  <si>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</si>
  <si>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</si>
  <si>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</si>
  <si>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</si>
  <si>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</si>
  <si>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</si>
  <si>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</si>
  <si>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</si>
  <si>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</si>
  <si>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</si>
  <si>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</si>
  <si>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</si>
  <si>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</si>
  <si>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</si>
  <si>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</si>
  <si>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</si>
  <si>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</si>
  <si>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</si>
  <si>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</si>
  <si>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</si>
  <si>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</si>
  <si>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</si>
  <si>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</si>
  <si>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</si>
  <si>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</si>
  <si>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</si>
  <si>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</si>
  <si>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</si>
  <si>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</si>
  <si>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</si>
  <si>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</si>
  <si>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</si>
  <si>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</si>
  <si>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</si>
  <si>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</si>
  <si>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</si>
  <si>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</si>
  <si>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</si>
  <si>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</si>
  <si>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</si>
  <si>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</si>
  <si>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</si>
  <si>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</si>
  <si>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</si>
  <si>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</si>
  <si>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</si>
  <si>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</si>
  <si>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</si>
  <si>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</si>
  <si>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</si>
  <si>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</si>
  <si>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</si>
  <si>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</si>
  <si>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</si>
  <si>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</si>
  <si>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</si>
  <si>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</si>
  <si>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</si>
  <si>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</si>
  <si>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</si>
  <si>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</si>
  <si>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</si>
  <si>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</si>
  <si>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</si>
  <si>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</si>
  <si>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</si>
  <si>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</si>
  <si>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</si>
  <si>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</si>
  <si>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</si>
  <si>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</si>
  <si>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</si>
  <si>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</si>
  <si>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</si>
  <si>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</si>
  <si>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</si>
  <si>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</si>
  <si>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</si>
  <si>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</si>
  <si>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</si>
  <si>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</si>
  <si>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</si>
  <si>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</si>
  <si>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</si>
  <si>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</si>
  <si>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</si>
  <si>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</si>
  <si>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</si>
  <si>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</si>
  <si>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</si>
  <si>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</si>
  <si>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</si>
  <si>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</si>
  <si>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</si>
  <si>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</si>
  <si>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</si>
  <si>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</si>
  <si>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</si>
  <si>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</si>
  <si>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</si>
  <si>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</si>
  <si>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</si>
  <si>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</si>
  <si>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</si>
  <si>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</si>
  <si>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</si>
  <si>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</si>
  <si>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</si>
  <si>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</si>
  <si>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</si>
  <si>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</si>
  <si>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</si>
  <si>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</si>
  <si>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</si>
  <si>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</si>
  <si>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</si>
  <si>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</si>
  <si>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</si>
  <si>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</si>
  <si>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</si>
  <si>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</si>
  <si>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</si>
  <si>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</si>
  <si>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</si>
  <si>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</si>
  <si>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</si>
  <si>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</si>
  <si>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</si>
  <si>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</si>
  <si>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</si>
  <si>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</si>
  <si>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</si>
  <si>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</si>
  <si>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</si>
  <si>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</si>
  <si>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</si>
  <si>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</si>
  <si>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</si>
  <si>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</si>
  <si>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</si>
  <si>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</si>
  <si>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</si>
  <si>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</si>
  <si>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</si>
  <si>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</si>
  <si>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</si>
  <si>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</si>
  <si>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</si>
  <si>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</si>
  <si>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</si>
  <si>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</si>
  <si>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</si>
  <si>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</si>
  <si>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</si>
  <si>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</si>
  <si>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</si>
  <si>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</si>
  <si>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</si>
  <si>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</si>
  <si>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</si>
  <si>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</si>
  <si>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</si>
  <si>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</si>
  <si>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</si>
  <si>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</si>
  <si>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</si>
  <si>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</si>
  <si>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</si>
  <si>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</si>
  <si>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</si>
  <si>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</si>
  <si>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</si>
  <si>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</si>
  <si>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</si>
  <si>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</si>
  <si>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</si>
  <si>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</si>
  <si>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</si>
  <si>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</si>
  <si>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</si>
  <si>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</si>
  <si>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</si>
  <si>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</si>
  <si>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</si>
  <si>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</si>
  <si>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</si>
  <si>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</si>
  <si>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</si>
  <si>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</si>
  <si>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</si>
  <si>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</si>
  <si>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</si>
  <si>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</si>
  <si>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</si>
  <si>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</si>
  <si>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</si>
  <si>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</si>
  <si>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</si>
  <si>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</si>
  <si>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</si>
  <si>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</si>
  <si>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</si>
  <si>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</si>
  <si>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</si>
  <si>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</si>
  <si>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</si>
  <si>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</si>
  <si>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</si>
  <si>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</si>
  <si>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</si>
  <si>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</si>
  <si>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</si>
  <si>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</si>
  <si>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</si>
  <si>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</si>
  <si>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</si>
  <si>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</si>
  <si>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</si>
  <si>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</si>
  <si>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</si>
  <si>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</si>
  <si>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</si>
  <si>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</si>
  <si>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</si>
  <si>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</si>
  <si>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</si>
  <si>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</si>
  <si>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</si>
  <si>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</si>
  <si>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</si>
  <si>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</si>
  <si>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</si>
  <si>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</si>
  <si>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</si>
  <si>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</si>
  <si>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</si>
  <si>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</si>
  <si>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</si>
  <si>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</si>
  <si>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</si>
  <si>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</si>
  <si>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</si>
  <si>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</si>
  <si>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</si>
  <si>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</si>
  <si>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</si>
  <si>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</si>
  <si>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</si>
  <si>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</si>
  <si>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</si>
  <si>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</si>
  <si>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</si>
  <si>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</si>
  <si>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</si>
  <si>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</si>
  <si>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</si>
  <si>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</si>
  <si>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</si>
  <si>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</si>
  <si>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</si>
  <si>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</si>
  <si>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</si>
  <si>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</si>
  <si>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</si>
  <si>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</si>
  <si>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</si>
  <si>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</si>
  <si>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</si>
  <si>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</si>
  <si>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</si>
  <si>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</si>
  <si>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</si>
  <si>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</si>
  <si>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</si>
  <si>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</si>
  <si>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</si>
  <si>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</si>
  <si>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</si>
  <si>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</si>
  <si>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</si>
  <si>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</si>
  <si>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</si>
  <si>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</si>
  <si>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</si>
  <si>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</si>
  <si>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</si>
  <si>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</si>
  <si>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</si>
  <si>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</si>
  <si>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</si>
  <si>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</si>
  <si>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</si>
  <si>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</si>
  <si>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</si>
  <si>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</si>
  <si>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</si>
  <si>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</si>
  <si>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</si>
  <si>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</si>
  <si>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</si>
  <si>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</si>
  <si>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</si>
  <si>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</si>
  <si>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</si>
  <si>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</si>
  <si>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</si>
  <si>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</si>
  <si>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</si>
  <si>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</si>
  <si>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</si>
  <si>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</si>
  <si>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</si>
  <si>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</si>
  <si>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</si>
  <si>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</si>
  <si>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</si>
  <si>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</si>
  <si>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</si>
  <si>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</si>
  <si>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</si>
  <si>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</si>
  <si>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</si>
  <si>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</si>
  <si>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</si>
  <si>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</si>
  <si>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</si>
  <si>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</si>
  <si>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</si>
  <si>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</si>
  <si>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</si>
  <si>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</si>
  <si>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</si>
  <si>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</si>
  <si>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</si>
  <si>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</si>
  <si>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</si>
  <si>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</si>
  <si>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</si>
  <si>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</si>
  <si>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</si>
  <si>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</si>
  <si>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</si>
  <si>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</si>
  <si>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</si>
  <si>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</si>
  <si>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</si>
  <si>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</si>
  <si>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</si>
  <si>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</si>
  <si>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</si>
  <si>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</si>
  <si>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</si>
  <si>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</si>
  <si>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E-tec Interconnect Asia Ltd. / E-tec Interconnect AG / EMC electro mechanical components GmbH</t>
  </si>
  <si>
    <t>Deningerstrasse 4a</t>
  </si>
  <si>
    <t>Fabian Girolstein</t>
  </si>
  <si>
    <t>f.girolstein@emc.de</t>
  </si>
  <si>
    <t>+49612693950</t>
  </si>
  <si>
    <t>Ryan Chou</t>
  </si>
  <si>
    <t>Engineer</t>
  </si>
  <si>
    <t>ryan.chou@e-tec-asia.com.tw</t>
  </si>
  <si>
    <t>886-2-2999-2726</t>
  </si>
  <si>
    <t>The material of plating surface</t>
  </si>
  <si>
    <t>100%</t>
  </si>
  <si>
    <t>Taiwan/China made products</t>
  </si>
  <si>
    <t>Swiss made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</si>
</sst>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girolstein@emc.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yan.chou@e-tec-asia.com.tw"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4.5">
      <c r="A13" s="303"/>
      <c r="B13" s="275">
        <v>1</v>
      </c>
      <c r="C13" s="276" t="s">
        <v>1046</v>
      </c>
      <c r="D13" s="277" t="s">
        <v>836</v>
      </c>
      <c r="E13" s="278" t="s">
        <v>813</v>
      </c>
      <c r="F13" s="278"/>
      <c r="G13" s="24"/>
    </row>
    <row r="14" spans="1:7" ht="46">
      <c r="A14" s="303"/>
      <c r="B14" s="275">
        <v>2</v>
      </c>
      <c r="C14" s="276" t="s">
        <v>1046</v>
      </c>
      <c r="D14" s="277" t="s">
        <v>983</v>
      </c>
      <c r="E14" s="278" t="s">
        <v>513</v>
      </c>
      <c r="F14" s="278" t="s">
        <v>514</v>
      </c>
      <c r="G14" s="24"/>
    </row>
    <row r="15" spans="1:7" ht="89.15"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150000000000006"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5"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99999999999999" customHeight="1">
      <c r="A28" s="303"/>
      <c r="B28" s="316"/>
      <c r="C28" s="310"/>
      <c r="D28" s="313"/>
      <c r="E28" s="301"/>
      <c r="F28" s="280" t="s">
        <v>56</v>
      </c>
      <c r="G28" s="24"/>
    </row>
    <row r="29" spans="1:7" ht="74.5" customHeight="1">
      <c r="A29" s="303"/>
      <c r="B29" s="316"/>
      <c r="C29" s="310"/>
      <c r="D29" s="313"/>
      <c r="E29" s="301"/>
      <c r="F29" s="280" t="s">
        <v>57</v>
      </c>
      <c r="G29" s="24"/>
    </row>
    <row r="30" spans="1:7" ht="62.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5" customHeight="1">
      <c r="A33" s="303"/>
      <c r="B33" s="316"/>
      <c r="C33" s="310"/>
      <c r="D33" s="313"/>
      <c r="E33" s="301"/>
      <c r="F33" s="280" t="s">
        <v>61</v>
      </c>
      <c r="G33" s="24"/>
    </row>
    <row r="34" spans="1:7" ht="89.15" customHeight="1">
      <c r="A34" s="303"/>
      <c r="B34" s="316"/>
      <c r="C34" s="310"/>
      <c r="D34" s="313"/>
      <c r="E34" s="301"/>
      <c r="F34" s="280" t="s">
        <v>63</v>
      </c>
      <c r="G34" s="24"/>
    </row>
    <row r="35" spans="1:7" ht="29.15" customHeight="1">
      <c r="A35" s="303"/>
      <c r="B35" s="316"/>
      <c r="C35" s="310"/>
      <c r="D35" s="313"/>
      <c r="E35" s="301"/>
      <c r="F35" s="280" t="s">
        <v>64</v>
      </c>
      <c r="G35" s="24"/>
    </row>
    <row r="36" spans="1:7" ht="138.5">
      <c r="A36" s="303"/>
      <c r="B36" s="317"/>
      <c r="C36" s="311"/>
      <c r="D36" s="314"/>
      <c r="E36" s="302"/>
      <c r="F36" s="282" t="s">
        <v>65</v>
      </c>
      <c r="G36" s="24"/>
    </row>
    <row r="37" spans="1:7" ht="138">
      <c r="A37" s="303"/>
      <c r="B37" s="281">
        <v>3.01</v>
      </c>
      <c r="C37" s="283" t="s">
        <v>66</v>
      </c>
      <c r="D37" s="277" t="s">
        <v>2155</v>
      </c>
      <c r="E37" s="284" t="s">
        <v>1282</v>
      </c>
      <c r="F37" s="285" t="s">
        <v>1384</v>
      </c>
      <c r="G37" s="24"/>
    </row>
    <row r="38" spans="1:7" ht="126.5">
      <c r="A38" s="303"/>
      <c r="B38" s="281">
        <v>3.02</v>
      </c>
      <c r="C38" s="283" t="s">
        <v>1314</v>
      </c>
      <c r="D38" s="277" t="s">
        <v>2156</v>
      </c>
      <c r="E38" s="284" t="s">
        <v>1329</v>
      </c>
      <c r="F38" s="285" t="s">
        <v>1385</v>
      </c>
      <c r="G38" s="24"/>
    </row>
    <row r="39" spans="1:7" ht="103.5">
      <c r="A39" s="303"/>
      <c r="B39" s="286">
        <v>4</v>
      </c>
      <c r="C39" s="287" t="s">
        <v>1480</v>
      </c>
      <c r="D39" s="277" t="s">
        <v>2157</v>
      </c>
      <c r="E39" s="276" t="s">
        <v>2104</v>
      </c>
      <c r="F39" s="276" t="s">
        <v>1481</v>
      </c>
      <c r="G39" s="24"/>
    </row>
    <row r="40" spans="1:7" ht="57.5">
      <c r="A40" s="303"/>
      <c r="B40" s="281">
        <v>4.01</v>
      </c>
      <c r="C40" s="287" t="s">
        <v>1480</v>
      </c>
      <c r="D40" s="277" t="s">
        <v>2159</v>
      </c>
      <c r="E40" s="276" t="s">
        <v>2116</v>
      </c>
      <c r="F40" s="276" t="s">
        <v>2120</v>
      </c>
      <c r="G40" s="24"/>
    </row>
    <row r="41" spans="1:7" ht="57.5">
      <c r="A41" s="303"/>
      <c r="B41" s="281" t="s">
        <v>2146</v>
      </c>
      <c r="C41" s="287" t="s">
        <v>1480</v>
      </c>
      <c r="D41" s="277" t="s">
        <v>2158</v>
      </c>
      <c r="E41" s="276" t="s">
        <v>2149</v>
      </c>
      <c r="F41" s="276" t="s">
        <v>2147</v>
      </c>
      <c r="G41" s="24"/>
    </row>
    <row r="42" spans="1:7" ht="57.5">
      <c r="A42" s="303"/>
      <c r="B42" s="281" t="s">
        <v>2173</v>
      </c>
      <c r="C42" s="287" t="s">
        <v>1480</v>
      </c>
      <c r="D42" s="277" t="s">
        <v>2178</v>
      </c>
      <c r="E42" s="276" t="s">
        <v>2148</v>
      </c>
      <c r="F42" s="276" t="s">
        <v>2174</v>
      </c>
      <c r="G42" s="24"/>
    </row>
    <row r="43" spans="1:7" ht="172.5">
      <c r="A43" s="303"/>
      <c r="B43" s="288">
        <v>4.0999999999999996</v>
      </c>
      <c r="C43" s="287" t="s">
        <v>2177</v>
      </c>
      <c r="D43" s="289">
        <v>42867</v>
      </c>
      <c r="E43" s="290" t="s">
        <v>2180</v>
      </c>
      <c r="F43" s="276" t="s">
        <v>2179</v>
      </c>
      <c r="G43" s="24"/>
    </row>
    <row r="44" spans="1:7" ht="103.5">
      <c r="A44" s="303"/>
      <c r="B44" s="288">
        <v>4.2</v>
      </c>
      <c r="C44" s="287" t="s">
        <v>2177</v>
      </c>
      <c r="D44" s="289">
        <v>42704</v>
      </c>
      <c r="E44" s="290" t="s">
        <v>2369</v>
      </c>
      <c r="F44" s="276" t="s">
        <v>2344</v>
      </c>
      <c r="G44" s="24"/>
    </row>
    <row r="45" spans="1:7" ht="207">
      <c r="A45" s="303"/>
      <c r="B45" s="291">
        <v>5</v>
      </c>
      <c r="C45" s="287" t="s">
        <v>2177</v>
      </c>
      <c r="D45" s="289">
        <v>42867</v>
      </c>
      <c r="E45" s="290" t="s">
        <v>12256</v>
      </c>
      <c r="F45" s="276" t="s">
        <v>11978</v>
      </c>
      <c r="G45" s="24"/>
    </row>
    <row r="46" spans="1:7" ht="57.5">
      <c r="A46" s="303"/>
      <c r="B46" s="288">
        <v>5.01</v>
      </c>
      <c r="C46" s="287" t="s">
        <v>2177</v>
      </c>
      <c r="D46" s="289">
        <v>42907</v>
      </c>
      <c r="E46" s="290" t="s">
        <v>14886</v>
      </c>
      <c r="F46" s="276" t="s">
        <v>11978</v>
      </c>
      <c r="G46" s="24"/>
    </row>
    <row r="47" spans="1:7" ht="92">
      <c r="A47" s="303"/>
      <c r="B47" s="288">
        <v>5.0999999999999996</v>
      </c>
      <c r="C47" s="287" t="s">
        <v>2177</v>
      </c>
      <c r="D47" s="289">
        <v>43070</v>
      </c>
      <c r="E47" s="290" t="s">
        <v>12456</v>
      </c>
      <c r="F47" s="276" t="s">
        <v>12457</v>
      </c>
      <c r="G47" s="24"/>
    </row>
    <row r="48" spans="1:7" ht="80.5">
      <c r="A48" s="303"/>
      <c r="B48" s="288">
        <v>5.1100000000000003</v>
      </c>
      <c r="C48" s="287" t="s">
        <v>12684</v>
      </c>
      <c r="D48" s="289">
        <v>43217</v>
      </c>
      <c r="E48" s="290" t="s">
        <v>12786</v>
      </c>
      <c r="F48" s="276" t="s">
        <v>12711</v>
      </c>
      <c r="G48" s="24"/>
    </row>
    <row r="49" spans="1:7" ht="80.5">
      <c r="A49" s="303"/>
      <c r="B49" s="288">
        <v>5.12</v>
      </c>
      <c r="C49" s="287" t="s">
        <v>12684</v>
      </c>
      <c r="D49" s="289">
        <v>43581</v>
      </c>
      <c r="E49" s="290" t="s">
        <v>12786</v>
      </c>
      <c r="F49" s="276" t="s">
        <v>13315</v>
      </c>
      <c r="G49" s="24"/>
    </row>
    <row r="50" spans="1:7" ht="115">
      <c r="A50" s="303"/>
      <c r="B50" s="291">
        <v>6</v>
      </c>
      <c r="C50" s="287" t="s">
        <v>12684</v>
      </c>
      <c r="D50" s="289">
        <v>43964</v>
      </c>
      <c r="E50" s="290" t="s">
        <v>13527</v>
      </c>
      <c r="F50" s="276" t="s">
        <v>13318</v>
      </c>
      <c r="G50" s="24"/>
    </row>
    <row r="51" spans="1:7" ht="57.5">
      <c r="A51" s="303"/>
      <c r="B51" s="288">
        <v>6.01</v>
      </c>
      <c r="C51" s="287" t="s">
        <v>12684</v>
      </c>
      <c r="D51" s="289">
        <v>43970</v>
      </c>
      <c r="E51" s="290" t="s">
        <v>14887</v>
      </c>
      <c r="F51" s="290" t="s">
        <v>13318</v>
      </c>
      <c r="G51" s="24"/>
    </row>
    <row r="52" spans="1:7" ht="57.5">
      <c r="A52" s="303"/>
      <c r="B52" s="288">
        <v>6.1</v>
      </c>
      <c r="C52" s="287" t="s">
        <v>12684</v>
      </c>
      <c r="D52" s="289">
        <v>44314</v>
      </c>
      <c r="E52" s="290" t="s">
        <v>14880</v>
      </c>
      <c r="F52" s="290" t="s">
        <v>14487</v>
      </c>
      <c r="G52" s="24"/>
    </row>
    <row r="53" spans="1:7" ht="57.5">
      <c r="A53" s="303"/>
      <c r="B53" s="288">
        <v>6.2</v>
      </c>
      <c r="C53" s="287" t="s">
        <v>12684</v>
      </c>
      <c r="D53" s="289">
        <v>44678</v>
      </c>
      <c r="E53" s="290" t="s">
        <v>14880</v>
      </c>
      <c r="F53" s="290" t="s">
        <v>14879</v>
      </c>
      <c r="G53" s="24"/>
    </row>
    <row r="54" spans="1:7" ht="57.5">
      <c r="A54" s="303"/>
      <c r="B54" s="288">
        <v>6.21</v>
      </c>
      <c r="C54" s="287" t="s">
        <v>12684</v>
      </c>
      <c r="D54" s="289">
        <v>44687</v>
      </c>
      <c r="E54" s="290" t="s">
        <v>14888</v>
      </c>
      <c r="F54" s="290" t="s">
        <v>14879</v>
      </c>
      <c r="G54" s="24"/>
    </row>
    <row r="55" spans="1:7" ht="57.5">
      <c r="A55" s="303"/>
      <c r="B55" s="288">
        <v>6.22</v>
      </c>
      <c r="C55" s="287" t="s">
        <v>12684</v>
      </c>
      <c r="D55" s="292">
        <v>44692</v>
      </c>
      <c r="E55" s="290" t="s">
        <v>14887</v>
      </c>
      <c r="F55" s="290" t="s">
        <v>14879</v>
      </c>
      <c r="G55" s="24"/>
    </row>
    <row r="56" spans="1:7" ht="80.5">
      <c r="A56" s="303"/>
      <c r="B56" s="291">
        <v>6.3</v>
      </c>
      <c r="C56" s="287" t="s">
        <v>12684</v>
      </c>
      <c r="D56" s="292">
        <v>45051</v>
      </c>
      <c r="E56" s="290" t="s">
        <v>15144</v>
      </c>
      <c r="F56" s="290" t="s">
        <v>14925</v>
      </c>
      <c r="G56" s="24"/>
    </row>
    <row r="57" spans="1:7" ht="57.5">
      <c r="A57" s="303"/>
      <c r="B57" s="288">
        <v>6.31</v>
      </c>
      <c r="C57" s="287" t="s">
        <v>12684</v>
      </c>
      <c r="D57" s="292">
        <v>45072</v>
      </c>
      <c r="E57" s="290" t="s">
        <v>15146</v>
      </c>
      <c r="F57" s="290" t="s">
        <v>14925</v>
      </c>
      <c r="G57" s="24"/>
    </row>
    <row r="58" spans="1:7" ht="57.5">
      <c r="A58" s="303"/>
      <c r="B58" s="291">
        <v>6.4</v>
      </c>
      <c r="C58" s="287" t="s">
        <v>12684</v>
      </c>
      <c r="D58" s="292">
        <v>45408</v>
      </c>
      <c r="E58" s="290" t="s">
        <v>15148</v>
      </c>
      <c r="F58" s="290" t="s">
        <v>15147</v>
      </c>
      <c r="G58" s="24"/>
    </row>
    <row r="59" spans="1:7" ht="57.5">
      <c r="A59" s="303"/>
      <c r="B59" s="291">
        <v>6.5</v>
      </c>
      <c r="C59" s="287" t="s">
        <v>12684</v>
      </c>
      <c r="D59" s="292">
        <v>45772</v>
      </c>
      <c r="E59" s="290" t="s">
        <v>15217</v>
      </c>
      <c r="F59" s="290" t="s">
        <v>15259</v>
      </c>
      <c r="G59" s="24"/>
    </row>
    <row r="60" spans="1:7" ht="80.5">
      <c r="A60" s="303"/>
      <c r="B60" s="291">
        <v>6.6</v>
      </c>
      <c r="C60" s="287" t="s">
        <v>12684</v>
      </c>
      <c r="D60" s="292">
        <v>46129</v>
      </c>
      <c r="E60" s="290" t="s">
        <v>15870</v>
      </c>
      <c r="F60" s="293" t="s">
        <v>15352</v>
      </c>
      <c r="G60" s="24"/>
    </row>
    <row r="61" spans="1:7" ht="14" thickBot="1">
      <c r="A61" s="304"/>
      <c r="B61" s="305" t="str">
        <f ca="1">OFFSET(L!$C$1,MATCH("General"&amp;"Cpy",L!$A:$A,0)-1,SL,,)</f>
        <v>© 2026 Responsible Minerals Initiative. All rights reserved.</v>
      </c>
      <c r="C61" s="305"/>
      <c r="D61" s="305"/>
      <c r="E61" s="305"/>
      <c r="F61" s="305"/>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029A789-93F9-42C5-BE31-7F94F286197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80B6847-AFAB-42B7-9396-F1EC58EC874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5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4"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7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4" thickBot="1">
      <c r="A33" s="72"/>
      <c r="B33" s="146"/>
      <c r="C33" s="146"/>
      <c r="D33" s="323"/>
    </row>
    <row r="34" spans="1:4" ht="14"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4"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7"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51" t="s">
        <v>15880</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51" t="s">
        <v>15881</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66" t="s">
        <v>15882</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51" t="s">
        <v>15883</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384" t="s">
        <v>15884</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51" t="s">
        <v>15885</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66" t="s">
        <v>15886</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324" t="s">
        <v>15887</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329">
        <v>46132</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327" t="s">
        <v>473</v>
      </c>
      <c r="E27" s="328"/>
      <c r="F27" s="11"/>
      <c r="G27" s="335" t="s">
        <v>15888</v>
      </c>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Gold  (*)</v>
      </c>
      <c r="C28" s="32"/>
      <c r="D28" s="327" t="s">
        <v>473</v>
      </c>
      <c r="E28" s="328"/>
      <c r="F28" s="11"/>
      <c r="G28" s="335" t="s">
        <v>15888</v>
      </c>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Gold  (*)</v>
      </c>
      <c r="C34" s="9"/>
      <c r="D34" s="327" t="s">
        <v>473</v>
      </c>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327" t="s">
        <v>474</v>
      </c>
      <c r="E39" s="328"/>
      <c r="F39" s="44"/>
      <c r="G39" s="335"/>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Gold  (*)</v>
      </c>
      <c r="C40" s="9"/>
      <c r="D40" s="327" t="s">
        <v>474</v>
      </c>
      <c r="E40" s="328"/>
      <c r="F40" s="44"/>
      <c r="G40" s="335"/>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327" t="s">
        <v>474</v>
      </c>
      <c r="E45" s="328"/>
      <c r="F45" s="44"/>
      <c r="G45" s="335"/>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Gold  (*)</v>
      </c>
      <c r="C46" s="9"/>
      <c r="D46" s="327" t="s">
        <v>474</v>
      </c>
      <c r="E46" s="328"/>
      <c r="F46" s="44"/>
      <c r="G46" s="335"/>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Gold  (*)</v>
      </c>
      <c r="C52" s="9"/>
      <c r="D52" s="327" t="s">
        <v>474</v>
      </c>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69" t="s">
        <v>15889</v>
      </c>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Gold  (*)</v>
      </c>
      <c r="C58" s="32"/>
      <c r="D58" s="369" t="s">
        <v>15889</v>
      </c>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Gold  (*)</v>
      </c>
      <c r="C64" s="9"/>
      <c r="D64" s="327" t="s">
        <v>473</v>
      </c>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Gold  (*)</v>
      </c>
      <c r="C70" s="32"/>
      <c r="D70" s="327" t="s">
        <v>473</v>
      </c>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474</v>
      </c>
      <c r="E77" s="328"/>
      <c r="F77" s="54"/>
      <c r="G77" s="339"/>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Yes</v>
      </c>
    </row>
    <row r="101" spans="2:7" ht="15" hidden="1">
      <c r="B101" s="219" t="s">
        <v>2371</v>
      </c>
      <c r="D101" s="264" t="str">
        <f>IF(AND(OR($D$27="Yes",$D$27=""),OR($D$33="Yes",$D$33="")),"Unknown","")</f>
        <v>Unknown</v>
      </c>
      <c r="E101" s="264" t="str">
        <f>IF(AND(OR($D$26="Yes",$D$26=""),OR($D$32="Yes",$D$32="")),"None","")</f>
        <v/>
      </c>
      <c r="G101" s="264" t="str">
        <f>IF(OR($D$28="Yes",$D$28=""),"No","")</f>
        <v>No</v>
      </c>
    </row>
    <row r="102" spans="2:7" ht="15" hidden="1">
      <c r="B102" s="219" t="s">
        <v>2372</v>
      </c>
      <c r="D102" s="264" t="str">
        <f>IF(AND(OR($D$28="Yes",$D$28=""),OR($D$34="Yes",$D$34="")),"Yes","")</f>
        <v>Yes</v>
      </c>
      <c r="E102" s="264" t="str">
        <f>IF(AND(OR($D$27="Yes",$D$27=""),OR($D$33="Yes",$D$33="")),"100%","")</f>
        <v>100%</v>
      </c>
      <c r="G102" s="264" t="str">
        <f>IF(OR($D$29="Yes",$D$29=""),"Yes","")</f>
        <v/>
      </c>
    </row>
    <row r="103" spans="2:7" ht="15" hidden="1">
      <c r="B103" s="219" t="s">
        <v>2373</v>
      </c>
      <c r="D103" s="264" t="str">
        <f>IF(AND(OR($D$28="Yes",$D$28=""),OR($D$34="Yes",$D$34="")),"No","")</f>
        <v>No</v>
      </c>
      <c r="E103" s="264" t="str">
        <f>IF(AND(OR($D$27="Yes",$D$27=""),OR($D$33="Yes",$D$33="")),"Greater than 90%","")</f>
        <v>Greater than 90%</v>
      </c>
      <c r="G103" s="264" t="str">
        <f>IF(OR($D$29="Yes",$D$29=""),"No","")</f>
        <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
      </c>
      <c r="E105" s="264" t="str">
        <f>IF(AND(OR($D$27="Yes",$D$27=""),OR($D$33="Yes",$D$33="")),"Greater than 50%","")</f>
        <v>Greater than 50%</v>
      </c>
    </row>
    <row r="106" spans="2:7" ht="15" hidden="1">
      <c r="B106" s="219" t="s">
        <v>11949</v>
      </c>
      <c r="D106" s="264" t="str">
        <f>IF(AND(OR($D$29="Yes",$D$29=""),OR($D$35="Yes",$D$35="")),"No","")</f>
        <v/>
      </c>
      <c r="E106" s="264" t="str">
        <f>IF(AND(OR($D$27="Yes",$D$27=""),OR($D$33="Yes",$D$33="")),"50% or less","")</f>
        <v>50% or less</v>
      </c>
    </row>
    <row r="107" spans="2:7" ht="15" hidden="1">
      <c r="B107" s="219" t="s">
        <v>474</v>
      </c>
      <c r="D107" s="264" t="str">
        <f>IF(AND(OR($D$29="Yes",$D$29=""),OR($D$35="Yes",$D$35="")),"Unknown","")</f>
        <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BF0AE72-4D06-4617-A2E8-D554FB91C2E6}"/>
    <hyperlink ref="D20" r:id="rId4" xr:uid="{C5D7AD74-AC7F-4C0D-AD91-8BF2E04B3CD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6" sqref="A6"/>
    </sheetView>
  </sheetViews>
  <sheetFormatPr baseColWidth="10"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245" t="s">
        <v>653</v>
      </c>
      <c r="B5" s="166" t="str">
        <f ca="1">IF(LEN(A5)=0,"",INDEX('Smelter Look-up'!$A:$A,MATCH($A5,'Smelter Look-up'!$E:$E,0)))</f>
        <v>Gold</v>
      </c>
      <c r="C5" s="170" t="str">
        <f ca="1">IF(LEN(A5)=0,"",INDEX('Smelter Look-up'!$C:$C,MATCH($A5,'Smelter Look-up'!$E:$E,0)))</f>
        <v>Heraeus Metals Hong Kong Ltd.</v>
      </c>
      <c r="D5" s="213"/>
      <c r="E5" s="166" t="str">
        <f ca="1">IF(ISERROR($V5),"",OFFSET('Smelter Look-up'!$D$4,$V5-4,0)&amp;"")</f>
        <v>CHINA</v>
      </c>
      <c r="F5" s="166" t="str">
        <f ca="1">IF(ISERROR($V5),"",OFFSET('Smelter Look-up'!$E$4,$V5-4,0))</f>
        <v>CID000707</v>
      </c>
      <c r="G5" s="166" t="str">
        <f ca="1">IF(C5=$X$4,IF(ISERROR($V5),"Enter smelter details","RMI"),IF(ISERROR($V5),"",OFFSET('Smelter Look-up'!$F$4,$V5-4,0)))</f>
        <v>RMI</v>
      </c>
      <c r="H5" s="167">
        <f ca="1">IF(ISERROR($V5),"",OFFSET('Smelter Look-up'!$G$4,$V5-4,0))</f>
        <v>0</v>
      </c>
      <c r="I5" s="168" t="str">
        <f ca="1">IF(ISERROR($V5),"",OFFSET('Smelter Look-up'!$H$4,$V5-4,0))</f>
        <v>Fanling</v>
      </c>
      <c r="J5" s="168" t="str">
        <f ca="1">IF(ISERROR($V5),"",OFFSET('Smelter Look-up'!$I$4,$V5-4,0))</f>
        <v>Hong Kong SAR</v>
      </c>
      <c r="K5" s="207"/>
      <c r="L5" s="207"/>
      <c r="M5" s="207"/>
      <c r="N5" s="207"/>
      <c r="O5" s="207"/>
      <c r="P5" s="169"/>
      <c r="Q5" s="208" t="s">
        <v>15890</v>
      </c>
      <c r="R5" s="166" t="str">
        <f ca="1">IF(ISERROR($V5),"",OFFSET('Smelter Look-up'!$C$4,$V5-4,0)&amp;"")</f>
        <v>Heraeus Metals Hong Kong Ltd.</v>
      </c>
      <c r="S5" s="165" t="str">
        <f ca="1">IF(B5="","",IF(ISERROR(MATCH($E5,CL,0)),"Unknown",INDIRECT("'C'!$A$"&amp;MATCH($E5,CL,0)+1)))</f>
        <v>CN</v>
      </c>
      <c r="T5" s="165" t="str">
        <f ca="1">IF(B5="","",IF(ISERROR(MATCH($J5,SorP!$B$1:$B$6261,0)),"",INDIRECT("'SorP'!$A$"&amp;MATCH($S5&amp;$J5,SorP!C:C,0))))</f>
        <v/>
      </c>
      <c r="U5" s="185"/>
      <c r="V5" s="209">
        <f ca="1">IF(C5="",NA(),IF(OR(C5="Smelter not listed",C5="Smelter not yet identified"),MATCH($B5&amp;$D5,'Smelter Look-up'!$J:$J,0),MATCH($B5&amp;$C5,'Smelter Look-up'!$J:$J,0)))</f>
        <v>123</v>
      </c>
      <c r="X5" s="210">
        <f t="shared" ref="X5" ca="1" si="0">IF(AND(C5="Smelter not listed",OR(LEN(D5)=0,LEN(E5)=0)),1,0)</f>
        <v>0</v>
      </c>
      <c r="AB5" s="211" t="str">
        <f t="shared" ref="AB5" ca="1" si="1">B5&amp;C5</f>
        <v>GoldHeraeus Metals Hong Kong Ltd.</v>
      </c>
    </row>
    <row r="6" spans="1:34" s="210" customFormat="1" ht="20.149999999999999" customHeight="1">
      <c r="A6" s="245" t="s">
        <v>634</v>
      </c>
      <c r="B6" s="166" t="str">
        <f ca="1">IF(LEN(A6)=0,"",INDEX('Smelter Look-up'!$A:$A,MATCH($A6,'Smelter Look-up'!$E:$E,0)))</f>
        <v>Gold</v>
      </c>
      <c r="C6" s="170" t="str">
        <f ca="1">IF(LEN(A6)=0,"",INDEX('Smelter Look-up'!$C:$C,MATCH($A6,'Smelter Look-up'!$E:$E,0)))</f>
        <v>Argor-Heraeus S.A.</v>
      </c>
      <c r="D6" s="213"/>
      <c r="E6" s="166" t="str">
        <f ca="1">IF(ISERROR($V6),"",OFFSET('Smelter Look-up'!$D$4,$V6-4,0)&amp;"")</f>
        <v>SWITZERLAND</v>
      </c>
      <c r="F6" s="166" t="str">
        <f ca="1">IF(ISERROR($V6),"",OFFSET('Smelter Look-up'!$E$4,$V6-4,0))</f>
        <v>CID000077</v>
      </c>
      <c r="G6" s="166" t="str">
        <f ca="1">IF(C6=$X$4,IF(ISERROR($V6),"Enter smelter details","RMI"),IF(ISERROR($V6),"",OFFSET('Smelter Look-up'!$F$4,$V6-4,0)))</f>
        <v>RMI</v>
      </c>
      <c r="H6" s="167">
        <f ca="1">IF(ISERROR($V6),"",OFFSET('Smelter Look-up'!$G$4,$V6-4,0))</f>
        <v>0</v>
      </c>
      <c r="I6" s="168" t="str">
        <f ca="1">IF(ISERROR($V6),"",OFFSET('Smelter Look-up'!$H$4,$V6-4,0))</f>
        <v>Mendrisio</v>
      </c>
      <c r="J6" s="168" t="str">
        <f ca="1">IF(ISERROR($V6),"",OFFSET('Smelter Look-up'!$I$4,$V6-4,0))</f>
        <v>Ticino</v>
      </c>
      <c r="K6" s="207"/>
      <c r="L6" s="207"/>
      <c r="M6" s="207"/>
      <c r="N6" s="207"/>
      <c r="O6" s="207"/>
      <c r="P6" s="169"/>
      <c r="Q6" s="208" t="s">
        <v>15890</v>
      </c>
      <c r="R6" s="166" t="str">
        <f ca="1">IF(ISERROR($V6),"",OFFSET('Smelter Look-up'!$C$4,$V6-4,0)&amp;"")</f>
        <v>Argor-Heraeus S.A.</v>
      </c>
      <c r="S6" s="165" t="str">
        <f t="shared" ref="S6:S37" ca="1" si="2">IF(B6="","",IF(ISERROR(MATCH($E6,CL,0)),"Unknown",INDIRECT("'C'!$A$"&amp;MATCH($E6,CL,0)+1)))</f>
        <v>CH</v>
      </c>
      <c r="T6" s="165" t="str">
        <f ca="1">IF(B6="","",IF(ISERROR(MATCH($J6,SorP!$B$1:$B$6261,0)),"",INDIRECT("'SorP'!$A$"&amp;MATCH($S6&amp;$J6,SorP!C:C,0))))</f>
        <v>CH-TI</v>
      </c>
      <c r="U6" s="185"/>
      <c r="V6" s="209">
        <f ca="1">IF(C6="",NA(),IF(OR(C6="Smelter not listed",C6="Smelter not yet identified"),MATCH($B6&amp;$D6,'Smelter Look-up'!$J:$J,0),MATCH($B6&amp;$C6,'Smelter Look-up'!$J:$J,0)))</f>
        <v>31</v>
      </c>
      <c r="X6" s="210">
        <f t="shared" ref="X6:X37" ca="1" si="3">IF(AND(C6="Smelter not listed",OR(LEN(D6)=0,LEN(E6)=0)),1,0)</f>
        <v>0</v>
      </c>
      <c r="AB6" s="211" t="str">
        <f t="shared" ref="AB6:AB37" ca="1" si="4">B6&amp;C6</f>
        <v>GoldArgor-Heraeus S.A.</v>
      </c>
    </row>
    <row r="7" spans="1:34" s="210" customFormat="1" ht="20.149999999999999" customHeight="1">
      <c r="A7" s="245" t="s">
        <v>1562</v>
      </c>
      <c r="B7" s="166" t="str">
        <f ca="1">IF(LEN(A7)=0,"",INDEX('Smelter Look-up'!$A:$A,MATCH($A7,'Smelter Look-up'!$E:$E,0)))</f>
        <v>Gold</v>
      </c>
      <c r="C7" s="170" t="str">
        <f ca="1">IF(LEN(A7)=0,"",INDEX('Smelter Look-up'!$C:$C,MATCH($A7,'Smelter Look-up'!$E:$E,0)))</f>
        <v>Metalor Technologies (Suzhou) Ltd.</v>
      </c>
      <c r="D7" s="213"/>
      <c r="E7" s="166" t="str">
        <f ca="1">IF(ISERROR($V7),"",OFFSET('Smelter Look-up'!$D$4,$V7-4,0)&amp;"")</f>
        <v>CHINA</v>
      </c>
      <c r="F7" s="166" t="str">
        <f ca="1">IF(ISERROR($V7),"",OFFSET('Smelter Look-up'!$E$4,$V7-4,0))</f>
        <v>CID001147</v>
      </c>
      <c r="G7" s="166" t="str">
        <f ca="1">IF(C7=$X$4,IF(ISERROR($V7),"Enter smelter details","RMI"),IF(ISERROR($V7),"",OFFSET('Smelter Look-up'!$F$4,$V7-4,0)))</f>
        <v>RMI</v>
      </c>
      <c r="H7" s="167">
        <f ca="1">IF(ISERROR($V7),"",OFFSET('Smelter Look-up'!$G$4,$V7-4,0))</f>
        <v>0</v>
      </c>
      <c r="I7" s="168" t="str">
        <f ca="1">IF(ISERROR($V7),"",OFFSET('Smelter Look-up'!$H$4,$V7-4,0))</f>
        <v>Suzhou</v>
      </c>
      <c r="J7" s="168" t="str">
        <f ca="1">IF(ISERROR($V7),"",OFFSET('Smelter Look-up'!$I$4,$V7-4,0))</f>
        <v>Jiangsu Sheng</v>
      </c>
      <c r="K7" s="207"/>
      <c r="L7" s="207"/>
      <c r="M7" s="207"/>
      <c r="N7" s="207"/>
      <c r="O7" s="207"/>
      <c r="P7" s="169"/>
      <c r="Q7" s="208" t="s">
        <v>15890</v>
      </c>
      <c r="R7" s="166" t="str">
        <f ca="1">IF(ISERROR($V7),"",OFFSET('Smelter Look-up'!$C$4,$V7-4,0)&amp;"")</f>
        <v>Metalor Technologies (Suzhou) Ltd.</v>
      </c>
      <c r="S7" s="165" t="str">
        <f t="shared" ca="1" si="2"/>
        <v>CN</v>
      </c>
      <c r="T7" s="165" t="str">
        <f ca="1">IF(B7="","",IF(ISERROR(MATCH($J7,SorP!$B$1:$B$6261,0)),"",INDIRECT("'SorP'!$A$"&amp;MATCH($S7&amp;$J7,SorP!C:C,0))))</f>
        <v>CN-JS</v>
      </c>
      <c r="U7" s="185"/>
      <c r="V7" s="209">
        <f ca="1">IF(C7="",NA(),IF(OR(C7="Smelter not listed",C7="Smelter not yet identified"),MATCH($B7&amp;$D7,'Smelter Look-up'!$J:$J,0),MATCH($B7&amp;$C7,'Smelter Look-up'!$J:$J,0)))</f>
        <v>195</v>
      </c>
      <c r="X7" s="210">
        <f t="shared" ca="1" si="3"/>
        <v>0</v>
      </c>
      <c r="AB7" s="211" t="str">
        <f t="shared" ca="1" si="4"/>
        <v>GoldMetalor Technologies (Suzhou) Ltd.</v>
      </c>
    </row>
    <row r="8" spans="1:34" s="210" customFormat="1" ht="20.149999999999999" customHeight="1">
      <c r="A8" s="245" t="s">
        <v>677</v>
      </c>
      <c r="B8" s="166" t="str">
        <f ca="1">IF(LEN(A8)=0,"",INDEX('Smelter Look-up'!$A:$A,MATCH($A8,'Smelter Look-up'!$E:$E,0)))</f>
        <v>Gold</v>
      </c>
      <c r="C8" s="170" t="str">
        <f ca="1">IF(LEN(A8)=0,"",INDEX('Smelter Look-up'!$C:$C,MATCH($A8,'Smelter Look-up'!$E:$E,0)))</f>
        <v>Metalor Technologies (Hong Kong) Ltd.</v>
      </c>
      <c r="D8" s="213"/>
      <c r="E8" s="166" t="str">
        <f ca="1">IF(ISERROR($V8),"",OFFSET('Smelter Look-up'!$D$4,$V8-4,0)&amp;"")</f>
        <v>CHINA</v>
      </c>
      <c r="F8" s="166" t="str">
        <f ca="1">IF(ISERROR($V8),"",OFFSET('Smelter Look-up'!$E$4,$V8-4,0))</f>
        <v>CID001149</v>
      </c>
      <c r="G8" s="166" t="str">
        <f ca="1">IF(C8=$X$4,IF(ISERROR($V8),"Enter smelter details","RMI"),IF(ISERROR($V8),"",OFFSET('Smelter Look-up'!$F$4,$V8-4,0)))</f>
        <v>RMI</v>
      </c>
      <c r="H8" s="167">
        <f ca="1">IF(ISERROR($V8),"",OFFSET('Smelter Look-up'!$G$4,$V8-4,0))</f>
        <v>0</v>
      </c>
      <c r="I8" s="168" t="str">
        <f ca="1">IF(ISERROR($V8),"",OFFSET('Smelter Look-up'!$H$4,$V8-4,0))</f>
        <v>Yuen Long</v>
      </c>
      <c r="J8" s="168" t="str">
        <f ca="1">IF(ISERROR($V8),"",OFFSET('Smelter Look-up'!$I$4,$V8-4,0))</f>
        <v>Hong Kong SAR</v>
      </c>
      <c r="K8" s="207"/>
      <c r="L8" s="207"/>
      <c r="M8" s="207"/>
      <c r="N8" s="207"/>
      <c r="O8" s="207"/>
      <c r="P8" s="169"/>
      <c r="Q8" s="208" t="s">
        <v>15890</v>
      </c>
      <c r="R8" s="166" t="str">
        <f ca="1">IF(ISERROR($V8),"",OFFSET('Smelter Look-up'!$C$4,$V8-4,0)&amp;"")</f>
        <v>Metalor Technologies (Hong Kong) Ltd.</v>
      </c>
      <c r="S8" s="165" t="str">
        <f t="shared" ca="1" si="2"/>
        <v>CN</v>
      </c>
      <c r="T8" s="165" t="str">
        <f ca="1">IF(B8="","",IF(ISERROR(MATCH($J8,SorP!$B$1:$B$6261,0)),"",INDIRECT("'SorP'!$A$"&amp;MATCH($S8&amp;$J8,SorP!C:C,0))))</f>
        <v/>
      </c>
      <c r="U8" s="185"/>
      <c r="V8" s="209">
        <f ca="1">IF(C8="",NA(),IF(OR(C8="Smelter not listed",C8="Smelter not yet identified"),MATCH($B8&amp;$D8,'Smelter Look-up'!$J:$J,0),MATCH($B8&amp;$C8,'Smelter Look-up'!$J:$J,0)))</f>
        <v>193</v>
      </c>
      <c r="X8" s="210">
        <f t="shared" ca="1" si="3"/>
        <v>0</v>
      </c>
      <c r="AB8" s="211" t="str">
        <f t="shared" ca="1" si="4"/>
        <v>GoldMetalor Technologies (Hong Kong) Ltd.</v>
      </c>
    </row>
    <row r="9" spans="1:34" s="210" customFormat="1" ht="20.149999999999999" customHeight="1">
      <c r="A9" s="245" t="s">
        <v>678</v>
      </c>
      <c r="B9" s="166" t="str">
        <f ca="1">IF(LEN(A9)=0,"",INDEX('Smelter Look-up'!$A:$A,MATCH($A9,'Smelter Look-up'!$E:$E,0)))</f>
        <v>Gold</v>
      </c>
      <c r="C9" s="170" t="str">
        <f ca="1">IF(LEN(A9)=0,"",INDEX('Smelter Look-up'!$C:$C,MATCH($A9,'Smelter Look-up'!$E:$E,0)))</f>
        <v>Metalor Technologies (Singapore) Pte., Ltd.</v>
      </c>
      <c r="D9" s="213"/>
      <c r="E9" s="166" t="str">
        <f ca="1">IF(ISERROR($V9),"",OFFSET('Smelter Look-up'!$D$4,$V9-4,0)&amp;"")</f>
        <v>SINGAPORE</v>
      </c>
      <c r="F9" s="166" t="str">
        <f ca="1">IF(ISERROR($V9),"",OFFSET('Smelter Look-up'!$E$4,$V9-4,0))</f>
        <v>CID001152</v>
      </c>
      <c r="G9" s="166" t="str">
        <f ca="1">IF(C9=$X$4,IF(ISERROR($V9),"Enter smelter details","RMI"),IF(ISERROR($V9),"",OFFSET('Smelter Look-up'!$F$4,$V9-4,0)))</f>
        <v>RMI</v>
      </c>
      <c r="H9" s="167">
        <f ca="1">IF(ISERROR($V9),"",OFFSET('Smelter Look-up'!$G$4,$V9-4,0))</f>
        <v>0</v>
      </c>
      <c r="I9" s="168" t="str">
        <f ca="1">IF(ISERROR($V9),"",OFFSET('Smelter Look-up'!$H$4,$V9-4,0))</f>
        <v>Singapore</v>
      </c>
      <c r="J9" s="168" t="str">
        <f ca="1">IF(ISERROR($V9),"",OFFSET('Smelter Look-up'!$I$4,$V9-4,0))</f>
        <v>South West</v>
      </c>
      <c r="K9" s="207"/>
      <c r="L9" s="207"/>
      <c r="M9" s="207"/>
      <c r="N9" s="207"/>
      <c r="O9" s="207"/>
      <c r="P9" s="169"/>
      <c r="Q9" s="208" t="s">
        <v>15890</v>
      </c>
      <c r="R9" s="166" t="str">
        <f ca="1">IF(ISERROR($V9),"",OFFSET('Smelter Look-up'!$C$4,$V9-4,0)&amp;"")</f>
        <v>Metalor Technologies (Singapore) Pte., Ltd.</v>
      </c>
      <c r="S9" s="165" t="str">
        <f t="shared" ca="1" si="2"/>
        <v>SG</v>
      </c>
      <c r="T9" s="165" t="str">
        <f ca="1">IF(B9="","",IF(ISERROR(MATCH($J9,SorP!$B$1:$B$6261,0)),"",INDIRECT("'SorP'!$A$"&amp;MATCH($S9&amp;$J9,SorP!C:C,0))))</f>
        <v>SG-05</v>
      </c>
      <c r="U9" s="185"/>
      <c r="V9" s="209">
        <f ca="1">IF(C9="",NA(),IF(OR(C9="Smelter not listed",C9="Smelter not yet identified"),MATCH($B9&amp;$D9,'Smelter Look-up'!$J:$J,0),MATCH($B9&amp;$C9,'Smelter Look-up'!$J:$J,0)))</f>
        <v>194</v>
      </c>
      <c r="X9" s="210">
        <f t="shared" ca="1" si="3"/>
        <v>0</v>
      </c>
      <c r="AB9" s="211" t="str">
        <f t="shared" ca="1" si="4"/>
        <v>GoldMetalor Technologies (Singapore) Pte., Ltd.</v>
      </c>
    </row>
    <row r="10" spans="1:34" s="210" customFormat="1" ht="20.149999999999999" customHeight="1">
      <c r="A10" s="245" t="s">
        <v>680</v>
      </c>
      <c r="B10" s="166" t="str">
        <f ca="1">IF(LEN(A10)=0,"",INDEX('Smelter Look-up'!$A:$A,MATCH($A10,'Smelter Look-up'!$E:$E,0)))</f>
        <v>Gold</v>
      </c>
      <c r="C10" s="170" t="str">
        <f ca="1">IF(LEN(A10)=0,"",INDEX('Smelter Look-up'!$C:$C,MATCH($A10,'Smelter Look-up'!$E:$E,0)))</f>
        <v>Metalor USA Refining Corporation</v>
      </c>
      <c r="D10" s="213"/>
      <c r="E10" s="166" t="str">
        <f ca="1">IF(ISERROR($V10),"",OFFSET('Smelter Look-up'!$D$4,$V10-4,0)&amp;"")</f>
        <v>UNITED STATES OF AMERICA</v>
      </c>
      <c r="F10" s="166" t="str">
        <f ca="1">IF(ISERROR($V10),"",OFFSET('Smelter Look-up'!$E$4,$V10-4,0))</f>
        <v>CID001157</v>
      </c>
      <c r="G10" s="166" t="str">
        <f ca="1">IF(C10=$X$4,IF(ISERROR($V10),"Enter smelter details","RMI"),IF(ISERROR($V10),"",OFFSET('Smelter Look-up'!$F$4,$V10-4,0)))</f>
        <v>RMI</v>
      </c>
      <c r="H10" s="167">
        <f ca="1">IF(ISERROR($V10),"",OFFSET('Smelter Look-up'!$G$4,$V10-4,0))</f>
        <v>0</v>
      </c>
      <c r="I10" s="168" t="str">
        <f ca="1">IF(ISERROR($V10),"",OFFSET('Smelter Look-up'!$H$4,$V10-4,0))</f>
        <v>North Attleboro</v>
      </c>
      <c r="J10" s="168" t="str">
        <f ca="1">IF(ISERROR($V10),"",OFFSET('Smelter Look-up'!$I$4,$V10-4,0))</f>
        <v>Massachusetts</v>
      </c>
      <c r="K10" s="207"/>
      <c r="L10" s="207"/>
      <c r="M10" s="207"/>
      <c r="N10" s="207"/>
      <c r="O10" s="207"/>
      <c r="P10" s="169"/>
      <c r="Q10" s="208" t="s">
        <v>15890</v>
      </c>
      <c r="R10" s="166" t="str">
        <f ca="1">IF(ISERROR($V10),"",OFFSET('Smelter Look-up'!$C$4,$V10-4,0)&amp;"")</f>
        <v>Metalor USA Refining Corporation</v>
      </c>
      <c r="S10" s="165" t="str">
        <f t="shared" ca="1" si="2"/>
        <v>US</v>
      </c>
      <c r="T10" s="165" t="str">
        <f ca="1">IF(B10="","",IF(ISERROR(MATCH($J10,SorP!$B$1:$B$6261,0)),"",INDIRECT("'SorP'!$A$"&amp;MATCH($S10&amp;$J10,SorP!C:C,0))))</f>
        <v>US-MA</v>
      </c>
      <c r="U10" s="185"/>
      <c r="V10" s="209">
        <f ca="1">IF(C10="",NA(),IF(OR(C10="Smelter not listed",C10="Smelter not yet identified"),MATCH($B10&amp;$D10,'Smelter Look-up'!$J:$J,0),MATCH($B10&amp;$C10,'Smelter Look-up'!$J:$J,0)))</f>
        <v>197</v>
      </c>
      <c r="X10" s="210">
        <f t="shared" ca="1" si="3"/>
        <v>0</v>
      </c>
      <c r="AB10" s="211" t="str">
        <f t="shared" ca="1" si="4"/>
        <v>GoldMetalor USA Refining Corporation</v>
      </c>
    </row>
    <row r="11" spans="1:34" s="210" customFormat="1" ht="20.149999999999999" customHeight="1">
      <c r="A11" s="245" t="s">
        <v>756</v>
      </c>
      <c r="B11" s="166" t="str">
        <f ca="1">IF(LEN(A11)=0,"",INDEX('Smelter Look-up'!$A:$A,MATCH($A11,'Smelter Look-up'!$E:$E,0)))</f>
        <v>Tin</v>
      </c>
      <c r="C11" s="170" t="str">
        <f ca="1">IF(LEN(A11)=0,"",INDEX('Smelter Look-up'!$C:$C,MATCH($A11,'Smelter Look-up'!$E:$E,0)))</f>
        <v>Tin Smelting Branch of Yunnan Tin Co., Ltd.</v>
      </c>
      <c r="D11" s="213"/>
      <c r="E11" s="166" t="str">
        <f ca="1">IF(ISERROR($V11),"",OFFSET('Smelter Look-up'!$D$4,$V11-4,0)&amp;"")</f>
        <v>CHINA</v>
      </c>
      <c r="F11" s="166" t="str">
        <f ca="1">IF(ISERROR($V11),"",OFFSET('Smelter Look-up'!$E$4,$V11-4,0))</f>
        <v>CID002180</v>
      </c>
      <c r="G11" s="166" t="str">
        <f ca="1">IF(C11=$X$4,IF(ISERROR($V11),"Enter smelter details","RMI"),IF(ISERROR($V11),"",OFFSET('Smelter Look-up'!$F$4,$V11-4,0)))</f>
        <v>RMI</v>
      </c>
      <c r="H11" s="167">
        <f ca="1">IF(ISERROR($V11),"",OFFSET('Smelter Look-up'!$G$4,$V11-4,0))</f>
        <v>0</v>
      </c>
      <c r="I11" s="168" t="str">
        <f ca="1">IF(ISERROR($V11),"",OFFSET('Smelter Look-up'!$H$4,$V11-4,0))</f>
        <v>Gejiu</v>
      </c>
      <c r="J11" s="168" t="str">
        <f ca="1">IF(ISERROR($V11),"",OFFSET('Smelter Look-up'!$I$4,$V11-4,0))</f>
        <v>Yunnan Sheng</v>
      </c>
      <c r="K11" s="207"/>
      <c r="L11" s="207"/>
      <c r="M11" s="207"/>
      <c r="N11" s="207"/>
      <c r="O11" s="207"/>
      <c r="P11" s="169"/>
      <c r="Q11" s="208" t="s">
        <v>15890</v>
      </c>
      <c r="R11" s="166" t="str">
        <f ca="1">IF(ISERROR($V11),"",OFFSET('Smelter Look-up'!$C$4,$V11-4,0)&amp;"")</f>
        <v>Tin Smelting Branch of Yunnan Tin Co., Ltd.</v>
      </c>
      <c r="S11" s="165" t="str">
        <f t="shared" ca="1" si="2"/>
        <v>CN</v>
      </c>
      <c r="T11" s="165" t="str">
        <f ca="1">IF(B11="","",IF(ISERROR(MATCH($J11,SorP!$B$1:$B$6261,0)),"",INDIRECT("'SorP'!$A$"&amp;MATCH($S11&amp;$J11,SorP!C:C,0))))</f>
        <v>CN-YN</v>
      </c>
      <c r="U11" s="185"/>
      <c r="V11" s="209">
        <f ca="1">IF(C11="",NA(),IF(OR(C11="Smelter not listed",C11="Smelter not yet identified"),MATCH($B11&amp;$D11,'Smelter Look-up'!$J:$J,0),MATCH($B11&amp;$C11,'Smelter Look-up'!$J:$J,0)))</f>
        <v>546</v>
      </c>
      <c r="X11" s="210">
        <f t="shared" ca="1" si="3"/>
        <v>0</v>
      </c>
      <c r="AB11" s="211" t="str">
        <f t="shared" ca="1" si="4"/>
        <v>TinTin Smelting Branch of Yunnan Tin Co., Ltd.</v>
      </c>
    </row>
    <row r="12" spans="1:34" s="210" customFormat="1" ht="20.149999999999999" customHeight="1">
      <c r="A12" s="245" t="s">
        <v>750</v>
      </c>
      <c r="B12" s="166" t="str">
        <f ca="1">IF(LEN(A12)=0,"",INDEX('Smelter Look-up'!$A:$A,MATCH($A12,'Smelter Look-up'!$E:$E,0)))</f>
        <v>Tin</v>
      </c>
      <c r="C12" s="170" t="str">
        <f ca="1">IF(LEN(A12)=0,"",INDEX('Smelter Look-up'!$C:$C,MATCH($A12,'Smelter Look-up'!$E:$E,0)))</f>
        <v>PT Timah Tbk Mentok</v>
      </c>
      <c r="D12" s="213"/>
      <c r="E12" s="166" t="str">
        <f ca="1">IF(ISERROR($V12),"",OFFSET('Smelter Look-up'!$D$4,$V12-4,0)&amp;"")</f>
        <v>INDONESIA</v>
      </c>
      <c r="F12" s="166" t="str">
        <f ca="1">IF(ISERROR($V12),"",OFFSET('Smelter Look-up'!$E$4,$V12-4,0))</f>
        <v>CID001482</v>
      </c>
      <c r="G12" s="166" t="str">
        <f ca="1">IF(C12=$X$4,IF(ISERROR($V12),"Enter smelter details","RMI"),IF(ISERROR($V12),"",OFFSET('Smelter Look-up'!$F$4,$V12-4,0)))</f>
        <v>RMI</v>
      </c>
      <c r="H12" s="167">
        <f ca="1">IF(ISERROR($V12),"",OFFSET('Smelter Look-up'!$G$4,$V12-4,0))</f>
        <v>0</v>
      </c>
      <c r="I12" s="168" t="str">
        <f ca="1">IF(ISERROR($V12),"",OFFSET('Smelter Look-up'!$H$4,$V12-4,0))</f>
        <v>Mentok</v>
      </c>
      <c r="J12" s="168" t="str">
        <f ca="1">IF(ISERROR($V12),"",OFFSET('Smelter Look-up'!$I$4,$V12-4,0))</f>
        <v>Kepulauan Bangka Belitung</v>
      </c>
      <c r="K12" s="207"/>
      <c r="L12" s="207"/>
      <c r="M12" s="207"/>
      <c r="N12" s="207"/>
      <c r="O12" s="207"/>
      <c r="P12" s="169"/>
      <c r="Q12" s="208" t="s">
        <v>15890</v>
      </c>
      <c r="R12" s="166" t="str">
        <f ca="1">IF(ISERROR($V12),"",OFFSET('Smelter Look-up'!$C$4,$V12-4,0)&amp;"")</f>
        <v>PT Timah Tbk Mentok</v>
      </c>
      <c r="S12" s="165" t="str">
        <f t="shared" ca="1" si="2"/>
        <v>ID</v>
      </c>
      <c r="T12" s="165" t="str">
        <f ca="1">IF(B12="","",IF(ISERROR(MATCH($J12,SorP!$B$1:$B$6261,0)),"",INDIRECT("'SorP'!$A$"&amp;MATCH($S12&amp;$J12,SorP!C:C,0))))</f>
        <v>ID-BB</v>
      </c>
      <c r="U12" s="185"/>
      <c r="V12" s="209">
        <f ca="1">IF(C12="",NA(),IF(OR(C12="Smelter not listed",C12="Smelter not yet identified"),MATCH($B12&amp;$D12,'Smelter Look-up'!$J:$J,0),MATCH($B12&amp;$C12,'Smelter Look-up'!$J:$J,0)))</f>
        <v>532</v>
      </c>
      <c r="X12" s="210">
        <f t="shared" ca="1" si="3"/>
        <v>0</v>
      </c>
      <c r="AB12" s="211" t="str">
        <f t="shared" ca="1" si="4"/>
        <v>TinPT Timah Tbk Mentok</v>
      </c>
    </row>
    <row r="13" spans="1:34" s="210" customFormat="1" ht="20.149999999999999" customHeight="1">
      <c r="A13" s="245" t="s">
        <v>739</v>
      </c>
      <c r="B13" s="166" t="str">
        <f ca="1">IF(LEN(A13)=0,"",INDEX('Smelter Look-up'!$A:$A,MATCH($A13,'Smelter Look-up'!$E:$E,0)))</f>
        <v>Tin</v>
      </c>
      <c r="C13" s="170" t="str">
        <f ca="1">IF(LEN(A13)=0,"",INDEX('Smelter Look-up'!$C:$C,MATCH($A13,'Smelter Look-up'!$E:$E,0)))</f>
        <v>Gejiu Non-Ferrous Metal Processing Co., Ltd.</v>
      </c>
      <c r="D13" s="213"/>
      <c r="E13" s="166" t="str">
        <f ca="1">IF(ISERROR($V13),"",OFFSET('Smelter Look-up'!$D$4,$V13-4,0)&amp;"")</f>
        <v>CHINA</v>
      </c>
      <c r="F13" s="166" t="str">
        <f ca="1">IF(ISERROR($V13),"",OFFSET('Smelter Look-up'!$E$4,$V13-4,0))</f>
        <v>CID000538</v>
      </c>
      <c r="G13" s="166" t="str">
        <f ca="1">IF(C13=$X$4,IF(ISERROR($V13),"Enter smelter details","RMI"),IF(ISERROR($V13),"",OFFSET('Smelter Look-up'!$F$4,$V13-4,0)))</f>
        <v>RMI</v>
      </c>
      <c r="H13" s="167">
        <f ca="1">IF(ISERROR($V13),"",OFFSET('Smelter Look-up'!$G$4,$V13-4,0))</f>
        <v>0</v>
      </c>
      <c r="I13" s="168" t="str">
        <f ca="1">IF(ISERROR($V13),"",OFFSET('Smelter Look-up'!$H$4,$V13-4,0))</f>
        <v>Gejiu</v>
      </c>
      <c r="J13" s="168" t="str">
        <f ca="1">IF(ISERROR($V13),"",OFFSET('Smelter Look-up'!$I$4,$V13-4,0))</f>
        <v>Yunnan Sheng</v>
      </c>
      <c r="K13" s="207"/>
      <c r="L13" s="207"/>
      <c r="M13" s="207"/>
      <c r="N13" s="207"/>
      <c r="O13" s="207"/>
      <c r="P13" s="169"/>
      <c r="Q13" s="208" t="s">
        <v>15890</v>
      </c>
      <c r="R13" s="166" t="str">
        <f ca="1">IF(ISERROR($V13),"",OFFSET('Smelter Look-up'!$C$4,$V13-4,0)&amp;"")</f>
        <v>Gejiu Non-Ferrous Metal Processing Co., Ltd.</v>
      </c>
      <c r="S13" s="165" t="str">
        <f t="shared" ca="1" si="2"/>
        <v>CN</v>
      </c>
      <c r="T13" s="165" t="str">
        <f ca="1">IF(B13="","",IF(ISERROR(MATCH($J13,SorP!$B$1:$B$6261,0)),"",INDIRECT("'SorP'!$A$"&amp;MATCH($S13&amp;$J13,SorP!C:C,0))))</f>
        <v>CN-YN</v>
      </c>
      <c r="U13" s="185"/>
      <c r="V13" s="209">
        <f ca="1">IF(C13="",NA(),IF(OR(C13="Smelter not listed",C13="Smelter not yet identified"),MATCH($B13&amp;$D13,'Smelter Look-up'!$J:$J,0),MATCH($B13&amp;$C13,'Smelter Look-up'!$J:$J,0)))</f>
        <v>468</v>
      </c>
      <c r="X13" s="210">
        <f t="shared" ca="1" si="3"/>
        <v>0</v>
      </c>
      <c r="AB13" s="211" t="str">
        <f t="shared" ca="1" si="4"/>
        <v>TinGejiu Non-Ferrous Metal Processing Co., Ltd.</v>
      </c>
    </row>
    <row r="14" spans="1:34" s="210" customFormat="1" ht="20.149999999999999" customHeight="1">
      <c r="A14" s="245" t="s">
        <v>679</v>
      </c>
      <c r="B14" s="166" t="str">
        <f ca="1">IF(LEN(A14)=0,"",INDEX('Smelter Look-up'!$A:$A,MATCH($A14,'Smelter Look-up'!$E:$E,0)))</f>
        <v>Gold</v>
      </c>
      <c r="C14" s="170" t="str">
        <f ca="1">IF(LEN(A14)=0,"",INDEX('Smelter Look-up'!$C:$C,MATCH($A14,'Smelter Look-up'!$E:$E,0)))</f>
        <v>Metalor Technologies S.A.</v>
      </c>
      <c r="D14" s="213"/>
      <c r="E14" s="166" t="str">
        <f ca="1">IF(ISERROR($V14),"",OFFSET('Smelter Look-up'!$D$4,$V14-4,0)&amp;"")</f>
        <v>SWITZERLAND</v>
      </c>
      <c r="F14" s="166" t="str">
        <f ca="1">IF(ISERROR($V14),"",OFFSET('Smelter Look-up'!$E$4,$V14-4,0))</f>
        <v>CID001153</v>
      </c>
      <c r="G14" s="166" t="str">
        <f ca="1">IF(C14=$X$4,IF(ISERROR($V14),"Enter smelter details","RMI"),IF(ISERROR($V14),"",OFFSET('Smelter Look-up'!$F$4,$V14-4,0)))</f>
        <v>RMI</v>
      </c>
      <c r="H14" s="167">
        <f ca="1">IF(ISERROR($V14),"",OFFSET('Smelter Look-up'!$G$4,$V14-4,0))</f>
        <v>0</v>
      </c>
      <c r="I14" s="168" t="str">
        <f ca="1">IF(ISERROR($V14),"",OFFSET('Smelter Look-up'!$H$4,$V14-4,0))</f>
        <v>Marin</v>
      </c>
      <c r="J14" s="168" t="str">
        <f ca="1">IF(ISERROR($V14),"",OFFSET('Smelter Look-up'!$I$4,$V14-4,0))</f>
        <v>Neuchâtel</v>
      </c>
      <c r="K14" s="207"/>
      <c r="L14" s="207"/>
      <c r="M14" s="207"/>
      <c r="N14" s="207"/>
      <c r="O14" s="207"/>
      <c r="P14" s="169"/>
      <c r="Q14" s="208" t="s">
        <v>15890</v>
      </c>
      <c r="R14" s="166" t="str">
        <f ca="1">IF(ISERROR($V14),"",OFFSET('Smelter Look-up'!$C$4,$V14-4,0)&amp;"")</f>
        <v>Metalor Technologies S.A.</v>
      </c>
      <c r="S14" s="165" t="str">
        <f t="shared" ca="1" si="2"/>
        <v>CH</v>
      </c>
      <c r="T14" s="165" t="str">
        <f ca="1">IF(B14="","",IF(ISERROR(MATCH($J14,SorP!$B$1:$B$6261,0)),"",INDIRECT("'SorP'!$A$"&amp;MATCH($S14&amp;$J14,SorP!C:C,0))))</f>
        <v>CH-NE</v>
      </c>
      <c r="U14" s="185"/>
      <c r="V14" s="209">
        <f ca="1">IF(C14="",NA(),IF(OR(C14="Smelter not listed",C14="Smelter not yet identified"),MATCH($B14&amp;$D14,'Smelter Look-up'!$J:$J,0),MATCH($B14&amp;$C14,'Smelter Look-up'!$J:$J,0)))</f>
        <v>196</v>
      </c>
      <c r="X14" s="210">
        <f t="shared" ca="1" si="3"/>
        <v>0</v>
      </c>
      <c r="AB14" s="211" t="str">
        <f t="shared" ca="1" si="4"/>
        <v>GoldMetalor Technologies S.A.</v>
      </c>
    </row>
    <row r="15" spans="1:34" s="210" customFormat="1" ht="20.149999999999999" customHeight="1">
      <c r="A15" s="245" t="s">
        <v>704</v>
      </c>
      <c r="B15" s="166" t="str">
        <f ca="1">IF(LEN(A15)=0,"",INDEX('Smelter Look-up'!$A:$A,MATCH($A15,'Smelter Look-up'!$E:$E,0)))</f>
        <v>Gold</v>
      </c>
      <c r="C15" s="170" t="str">
        <f ca="1">IF(LEN(A15)=0,"",INDEX('Smelter Look-up'!$C:$C,MATCH($A15,'Smelter Look-up'!$E:$E,0)))</f>
        <v>Tanaka Kikinzoku Kogyo K.K.</v>
      </c>
      <c r="D15" s="213"/>
      <c r="E15" s="166" t="str">
        <f ca="1">IF(ISERROR($V15),"",OFFSET('Smelter Look-up'!$D$4,$V15-4,0)&amp;"")</f>
        <v>JAPAN</v>
      </c>
      <c r="F15" s="166" t="str">
        <f ca="1">IF(ISERROR($V15),"",OFFSET('Smelter Look-up'!$E$4,$V15-4,0))</f>
        <v>CID001875</v>
      </c>
      <c r="G15" s="166" t="str">
        <f ca="1">IF(C15=$X$4,IF(ISERROR($V15),"Enter smelter details","RMI"),IF(ISERROR($V15),"",OFFSET('Smelter Look-up'!$F$4,$V15-4,0)))</f>
        <v>RMI</v>
      </c>
      <c r="H15" s="167">
        <f ca="1">IF(ISERROR($V15),"",OFFSET('Smelter Look-up'!$G$4,$V15-4,0))</f>
        <v>0</v>
      </c>
      <c r="I15" s="168" t="str">
        <f ca="1">IF(ISERROR($V15),"",OFFSET('Smelter Look-up'!$H$4,$V15-4,0))</f>
        <v>Chuo-ko</v>
      </c>
      <c r="J15" s="168" t="str">
        <f ca="1">IF(ISERROR($V15),"",OFFSET('Smelter Look-up'!$I$4,$V15-4,0))</f>
        <v>Tokyo</v>
      </c>
      <c r="K15" s="207"/>
      <c r="L15" s="207"/>
      <c r="M15" s="207"/>
      <c r="N15" s="207"/>
      <c r="O15" s="207"/>
      <c r="P15" s="169"/>
      <c r="Q15" s="208" t="s">
        <v>15891</v>
      </c>
      <c r="R15" s="166" t="str">
        <f ca="1">IF(ISERROR($V15),"",OFFSET('Smelter Look-up'!$C$4,$V15-4,0)&amp;"")</f>
        <v>Tanaka Kikinzoku Kogyo K.K.</v>
      </c>
      <c r="S15" s="165" t="str">
        <f t="shared" ca="1" si="2"/>
        <v>JP</v>
      </c>
      <c r="T15" s="165" t="str">
        <f ca="1">IF(B15="","",IF(ISERROR(MATCH($J15,SorP!$B$1:$B$6261,0)),"",INDIRECT("'SorP'!$A$"&amp;MATCH($S15&amp;$J15,SorP!C:C,0))))</f>
        <v>JP-13</v>
      </c>
      <c r="U15" s="185"/>
      <c r="V15" s="209">
        <f ca="1">IF(C15="",NA(),IF(OR(C15="Smelter not listed",C15="Smelter not yet identified"),MATCH($B15&amp;$D15,'Smelter Look-up'!$J:$J,0),MATCH($B15&amp;$C15,'Smelter Look-up'!$J:$J,0)))</f>
        <v>303</v>
      </c>
      <c r="X15" s="210">
        <f t="shared" ca="1" si="3"/>
        <v>0</v>
      </c>
      <c r="AB15" s="211" t="str">
        <f t="shared" ca="1" si="4"/>
        <v>GoldTanaka Kikinzoku Kogyo K.K.</v>
      </c>
    </row>
    <row r="16" spans="1:34" s="210" customFormat="1" ht="20.149999999999999" customHeight="1">
      <c r="A16" s="245" t="s">
        <v>753</v>
      </c>
      <c r="B16" s="166" t="str">
        <f ca="1">IF(LEN(A16)=0,"",INDEX('Smelter Look-up'!$A:$A,MATCH($A16,'Smelter Look-up'!$E:$E,0)))</f>
        <v>Tin</v>
      </c>
      <c r="C16" s="170" t="str">
        <f ca="1">IF(LEN(A16)=0,"",INDEX('Smelter Look-up'!$C:$C,MATCH($A16,'Smelter Look-up'!$E:$E,0)))</f>
        <v>Thaisarco</v>
      </c>
      <c r="D16" s="213"/>
      <c r="E16" s="166" t="str">
        <f ca="1">IF(ISERROR($V16),"",OFFSET('Smelter Look-up'!$D$4,$V16-4,0)&amp;"")</f>
        <v>THAILAND</v>
      </c>
      <c r="F16" s="166" t="str">
        <f ca="1">IF(ISERROR($V16),"",OFFSET('Smelter Look-up'!$E$4,$V16-4,0))</f>
        <v>CID001898</v>
      </c>
      <c r="G16" s="166" t="str">
        <f ca="1">IF(C16=$X$4,IF(ISERROR($V16),"Enter smelter details","RMI"),IF(ISERROR($V16),"",OFFSET('Smelter Look-up'!$F$4,$V16-4,0)))</f>
        <v>RMI</v>
      </c>
      <c r="H16" s="167">
        <f ca="1">IF(ISERROR($V16),"",OFFSET('Smelter Look-up'!$G$4,$V16-4,0))</f>
        <v>0</v>
      </c>
      <c r="I16" s="168" t="str">
        <f ca="1">IF(ISERROR($V16),"",OFFSET('Smelter Look-up'!$H$4,$V16-4,0))</f>
        <v>Amphur Muang</v>
      </c>
      <c r="J16" s="168" t="str">
        <f ca="1">IF(ISERROR($V16),"",OFFSET('Smelter Look-up'!$I$4,$V16-4,0))</f>
        <v>Phuket</v>
      </c>
      <c r="K16" s="207"/>
      <c r="L16" s="207"/>
      <c r="M16" s="207"/>
      <c r="N16" s="207"/>
      <c r="O16" s="207"/>
      <c r="P16" s="169"/>
      <c r="Q16" s="208" t="s">
        <v>15891</v>
      </c>
      <c r="R16" s="166" t="str">
        <f ca="1">IF(ISERROR($V16),"",OFFSET('Smelter Look-up'!$C$4,$V16-4,0)&amp;"")</f>
        <v>Thaisarco</v>
      </c>
      <c r="S16" s="165" t="str">
        <f t="shared" ca="1" si="2"/>
        <v>TH</v>
      </c>
      <c r="T16" s="165" t="str">
        <f ca="1">IF(B16="","",IF(ISERROR(MATCH($J16,SorP!$B$1:$B$6261,0)),"",INDIRECT("'SorP'!$A$"&amp;MATCH($S16&amp;$J16,SorP!C:C,0))))</f>
        <v>TH-83</v>
      </c>
      <c r="U16" s="185"/>
      <c r="V16" s="209">
        <f ca="1">IF(C16="",NA(),IF(OR(C16="Smelter not listed",C16="Smelter not yet identified"),MATCH($B16&amp;$D16,'Smelter Look-up'!$J:$J,0),MATCH($B16&amp;$C16,'Smelter Look-up'!$J:$J,0)))</f>
        <v>543</v>
      </c>
      <c r="X16" s="210">
        <f t="shared" ca="1" si="3"/>
        <v>0</v>
      </c>
      <c r="AB16" s="211" t="str">
        <f t="shared" ca="1" si="4"/>
        <v>TinThaisarco</v>
      </c>
    </row>
    <row r="17" spans="1:28" s="210" customFormat="1" ht="20.149999999999999"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49999999999999"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837E951-6D49-4A6B-A203-ED85B14F237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t="str">
        <f>Declaration!D8</f>
        <v>E-tec Interconnect Asia Ltd. / E-tec Interconnect AG / EMC electro mechanical components GmbH</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41">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t="str">
        <f>Declaration!D15</f>
        <v>Fabian Girolstein</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t="str">
        <f>Declaration!D16</f>
        <v>f.girolstein@emc.de</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6" t="str">
        <f>Declaration!D17</f>
        <v>+49612693950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t="str">
        <f>Declaration!D18</f>
        <v>Ryan Chou</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t="str">
        <f>Declaration!D20</f>
        <v>ryan.chou@e-tec-asia.com.tw</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46132</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 (*)</v>
      </c>
      <c r="B18" s="89"/>
      <c r="C18" s="89"/>
      <c r="D18" s="93"/>
      <c r="E18" s="19" t="s">
        <v>771</v>
      </c>
      <c r="F18" s="90"/>
      <c r="J18" s="143"/>
    </row>
    <row r="19" spans="1:10" ht="41">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1">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6) What percentage of relevant suppliers have provided a response to your supply chain survey?  (*)</v>
      </c>
      <c r="B38" s="89"/>
      <c r="C38" s="89"/>
      <c r="D38" s="93"/>
      <c r="E38" s="19" t="s">
        <v>770</v>
      </c>
      <c r="F38" s="90"/>
    </row>
    <row r="39" spans="1:10" ht="27.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7) Have you identified all of the smelters supplying the 3TG to your supply chain?  (*)</v>
      </c>
      <c r="B43" s="89"/>
      <c r="C43" s="89"/>
      <c r="D43" s="93"/>
      <c r="E43" s="19" t="s">
        <v>771</v>
      </c>
      <c r="F43" s="90"/>
    </row>
    <row r="44" spans="1:10" ht="54.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8) Has all applicable smelter information received by your company been reported in this declaration?  (*)</v>
      </c>
      <c r="B48" s="89"/>
      <c r="C48" s="89"/>
      <c r="D48" s="93"/>
      <c r="E48" s="19" t="s">
        <v>772</v>
      </c>
      <c r="F48" s="90"/>
    </row>
    <row r="49" spans="1:10" ht="41">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1">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1">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1">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7">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7" t="str">
        <f ca="1">OFFSET(L!$C$1,MATCH("General"&amp;"Cpy",L!$A:$A,0)-1,SL,,)</f>
        <v>© 2026 Responsible Minerals Initiative. All rights reserved.</v>
      </c>
      <c r="C2006" s="397"/>
      <c r="D2006" s="397"/>
      <c r="E2006" s="397"/>
      <c r="F2006" s="397"/>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1.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5">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1.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0.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7.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56.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Fabian Girolstein</cp:lastModifiedBy>
  <cp:lastPrinted>2015-04-21T20:47:43Z</cp:lastPrinted>
  <dcterms:created xsi:type="dcterms:W3CDTF">2010-06-21T21:00:23Z</dcterms:created>
  <dcterms:modified xsi:type="dcterms:W3CDTF">2026-04-20T05:51:47Z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