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T:\Verordnungen und Stoffbeschränkungen\EMRT Kobalt und Mica\"/>
    </mc:Choice>
  </mc:AlternateContent>
  <xr:revisionPtr revIDLastSave="0" documentId="13_ncr:1_{4E15AC01-1A6D-4391-A6A9-728AC6C28535}"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550" yWindow="0" windowWidth="29900" windowHeight="2088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P3" i="4"/>
  <c r="E3" i="20"/>
  <c r="B23" i="13"/>
  <c r="AD6" i="5"/>
  <c r="AD7"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1689" i="5"/>
  <c r="AC1690" i="5"/>
  <c r="AC1691" i="5"/>
  <c r="AC1692" i="5"/>
  <c r="AC1693" i="5"/>
  <c r="AC1694" i="5"/>
  <c r="AC1695" i="5"/>
  <c r="AC1696" i="5"/>
  <c r="AC1697" i="5"/>
  <c r="AC1698" i="5"/>
  <c r="AC1699" i="5"/>
  <c r="AC1700" i="5"/>
  <c r="AC1701" i="5"/>
  <c r="AC1702" i="5"/>
  <c r="AC1703" i="5"/>
  <c r="AC1704" i="5"/>
  <c r="AC1705" i="5"/>
  <c r="AC1706" i="5"/>
  <c r="AC1707" i="5"/>
  <c r="AC1708" i="5"/>
  <c r="AC1709" i="5"/>
  <c r="AC1710" i="5"/>
  <c r="AC1711" i="5"/>
  <c r="AC1712" i="5"/>
  <c r="AC1713" i="5"/>
  <c r="AC1714" i="5"/>
  <c r="AC1715" i="5"/>
  <c r="AC1716" i="5"/>
  <c r="AC1717" i="5"/>
  <c r="AC1718" i="5"/>
  <c r="AC1719" i="5"/>
  <c r="AC1720" i="5"/>
  <c r="AC1721" i="5"/>
  <c r="AC1722" i="5"/>
  <c r="AC1723" i="5"/>
  <c r="AC1724" i="5"/>
  <c r="AC1725" i="5"/>
  <c r="AC1726" i="5"/>
  <c r="AC1727" i="5"/>
  <c r="AC1728" i="5"/>
  <c r="AC1729" i="5"/>
  <c r="AC1730" i="5"/>
  <c r="AC1731" i="5"/>
  <c r="AC1732" i="5"/>
  <c r="AC1733" i="5"/>
  <c r="AC1734" i="5"/>
  <c r="AC1735" i="5"/>
  <c r="AC1736" i="5"/>
  <c r="AC1737" i="5"/>
  <c r="AC1738" i="5"/>
  <c r="AC1739" i="5"/>
  <c r="AC1740" i="5"/>
  <c r="AC1741" i="5"/>
  <c r="AC1742" i="5"/>
  <c r="AC1743" i="5"/>
  <c r="AC1744" i="5"/>
  <c r="AC1745" i="5"/>
  <c r="AC1746" i="5"/>
  <c r="AC1747" i="5"/>
  <c r="AC1748" i="5"/>
  <c r="AC1749" i="5"/>
  <c r="AC1750" i="5"/>
  <c r="AC1751" i="5"/>
  <c r="AC1752" i="5"/>
  <c r="AC1753" i="5"/>
  <c r="AC1754" i="5"/>
  <c r="AC1755" i="5"/>
  <c r="AC1756" i="5"/>
  <c r="AC1757" i="5"/>
  <c r="AC1758" i="5"/>
  <c r="AC1759" i="5"/>
  <c r="AC1760" i="5"/>
  <c r="AC1761" i="5"/>
  <c r="AC1762" i="5"/>
  <c r="AC1763" i="5"/>
  <c r="AC1764" i="5"/>
  <c r="AC1765" i="5"/>
  <c r="AC1766" i="5"/>
  <c r="AC1767" i="5"/>
  <c r="AC1768"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AC2497" i="5"/>
  <c r="AC2498" i="5"/>
  <c r="AC2499" i="5"/>
  <c r="AC2500" i="5"/>
  <c r="AC2501" i="5"/>
  <c r="AC2502" i="5"/>
  <c r="AC2503" i="5"/>
  <c r="AC2504" i="5"/>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B31" i="4"/>
  <c r="A18"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AA15" i="4" a="1"/>
  <c r="AA15" i="4"/>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G5" i="5"/>
  <c r="F6" i="5"/>
  <c r="AB6" i="5"/>
  <c r="AB7"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G6" i="5"/>
  <c r="I8" i="5"/>
  <c r="I6" i="5"/>
  <c r="AB1073" i="5"/>
  <c r="AD1073" i="5"/>
  <c r="AB1102" i="5"/>
  <c r="AD1102" i="5"/>
  <c r="AB1494" i="5"/>
  <c r="AD1494" i="5"/>
  <c r="AB1806" i="5"/>
  <c r="AD1806" i="5"/>
  <c r="AB2110" i="5"/>
  <c r="AD2110" i="5"/>
  <c r="E12" i="5"/>
  <c r="X12" i="5"/>
  <c r="R12" i="5"/>
  <c r="E11" i="5"/>
  <c r="X11" i="5"/>
  <c r="J11" i="5"/>
  <c r="R11" i="5"/>
  <c r="X8" i="5"/>
  <c r="R8" i="5"/>
  <c r="H7" i="5"/>
  <c r="I7" i="5"/>
  <c r="X6" i="5"/>
  <c r="R6" i="5"/>
  <c r="AB1478" i="5"/>
  <c r="AD1478" i="5"/>
  <c r="AB1505" i="5"/>
  <c r="AD1505" i="5"/>
  <c r="AB1518" i="5"/>
  <c r="AD1518" i="5"/>
  <c r="AB1734" i="5"/>
  <c r="AD1734" i="5"/>
  <c r="AB1870" i="5"/>
  <c r="AD1870" i="5"/>
  <c r="E9" i="5"/>
  <c r="X9" i="5"/>
  <c r="R9"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V47" i="4"/>
  <c r="W47" i="4"/>
  <c r="U46" i="4"/>
  <c r="V46" i="4"/>
  <c r="U45" i="4"/>
  <c r="AB51" i="4"/>
  <c r="AC51" i="4"/>
  <c r="AA50" i="4"/>
  <c r="AB50" i="4"/>
  <c r="Z49" i="4"/>
  <c r="AA49" i="4"/>
  <c r="Y48" i="4"/>
  <c r="Z48" i="4"/>
  <c r="X47" i="4"/>
  <c r="Y47" i="4"/>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C114" i="6"/>
  <c r="D114" i="6"/>
  <c r="D116" i="6"/>
  <c r="C116" i="6"/>
  <c r="C115" i="6"/>
  <c r="D115" i="6"/>
  <c r="G124" i="6" a="1"/>
  <c r="G124" i="6"/>
  <c r="H124" i="6"/>
  <c r="X50" i="5"/>
  <c r="X45" i="4"/>
  <c r="Y45" i="4"/>
  <c r="W44" i="4"/>
  <c r="X44" i="4"/>
  <c r="W43" i="4"/>
  <c r="AC48" i="4"/>
  <c r="AB47" i="4"/>
  <c r="AC47" i="4"/>
  <c r="AA46" i="4"/>
  <c r="AB46" i="4"/>
  <c r="D124" i="6"/>
  <c r="Y44" i="4"/>
  <c r="Z44" i="4"/>
  <c r="X43" i="4"/>
  <c r="Y43" i="4"/>
  <c r="X42" i="4"/>
  <c r="Y42" i="4"/>
  <c r="AC46" i="4"/>
  <c r="Z45" i="4"/>
  <c r="AA45" i="4"/>
  <c r="Z42" i="4"/>
  <c r="AA42" i="4"/>
  <c r="Z43" i="4"/>
  <c r="AA43" i="4"/>
  <c r="AA44" i="4"/>
  <c r="AB44" i="4"/>
  <c r="AB45" i="4"/>
  <c r="AC45" i="4"/>
  <c r="AB42" i="4"/>
  <c r="AC42" i="4"/>
  <c r="AB43" i="4"/>
  <c r="AC43" i="4"/>
  <c r="AC44"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<sst xmlns="http://schemas.openxmlformats.org/spreadsheetml/2006/main" count="29404" uniqueCount="20368">
  <si>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</si>
  <si>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</si>
  <si>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</si>
  <si>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</si>
  <si>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</si>
  <si>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</si>
  <si>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</si>
  <si>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</si>
  <si>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</si>
  <si>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</si>
  <si>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</si>
  <si>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</si>
  <si>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</si>
  <si>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</si>
  <si>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</si>
  <si>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</si>
  <si>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</si>
  <si>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</si>
  <si>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</si>
  <si>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</si>
  <si>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</si>
  <si>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</si>
  <si>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</si>
  <si>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</si>
  <si>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</si>
  <si>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</si>
  <si>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</si>
  <si>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</si>
  <si>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</si>
  <si>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</si>
  <si>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</si>
  <si>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</si>
  <si>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</si>
  <si>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</si>
  <si>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</si>
  <si>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</si>
  <si>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</si>
  <si>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</si>
  <si>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</si>
  <si>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</si>
  <si>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</si>
  <si>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</si>
  <si>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</si>
  <si>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</si>
  <si>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</si>
  <si>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</si>
  <si>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</si>
  <si>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</si>
  <si>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</si>
  <si>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</si>
  <si>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</si>
  <si>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</si>
  <si>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</si>
  <si>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</si>
  <si>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</si>
  <si>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</si>
  <si>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</si>
  <si>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</si>
  <si>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</si>
  <si>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</si>
  <si>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</si>
  <si>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</si>
  <si>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</si>
  <si>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</si>
  <si>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</si>
  <si>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</si>
  <si>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</si>
  <si>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</si>
  <si>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</si>
  <si>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</si>
  <si>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</si>
  <si>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</si>
  <si>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</si>
  <si>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</si>
  <si>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</si>
  <si>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</si>
  <si>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</si>
  <si>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</si>
  <si>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</si>
  <si>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</si>
  <si>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</si>
  <si>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</si>
  <si>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</si>
  <si>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</si>
  <si>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</si>
  <si>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</si>
  <si>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</si>
  <si>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</si>
  <si>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</si>
  <si>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</si>
  <si>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</si>
  <si>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</si>
  <si>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</si>
  <si>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</si>
  <si>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</si>
  <si>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</si>
  <si>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</si>
  <si>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</si>
  <si>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</si>
  <si>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</si>
  <si>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</si>
  <si>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</si>
  <si>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</si>
  <si>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</si>
  <si>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</si>
  <si>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</si>
  <si>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</si>
  <si>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</si>
  <si>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</si>
  <si>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</si>
  <si>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</si>
  <si>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</si>
  <si>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</si>
  <si>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</si>
  <si>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</si>
  <si>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</si>
  <si>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</si>
  <si>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</si>
  <si>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</si>
  <si>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</si>
  <si>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</si>
  <si>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</si>
  <si>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</si>
  <si>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</si>
  <si>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</si>
  <si>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</si>
  <si>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</si>
  <si>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</si>
  <si>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</si>
  <si>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</si>
  <si>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</si>
  <si>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</si>
  <si>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</si>
  <si>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</si>
  <si>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</si>
  <si>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</si>
  <si>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</si>
  <si>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</si>
  <si>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</si>
  <si>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</si>
  <si>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</si>
  <si>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</si>
  <si>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</si>
  <si>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</si>
  <si>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</si>
  <si>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</si>
  <si>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</si>
  <si>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</si>
  <si>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</si>
  <si>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</si>
  <si>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</si>
  <si>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</si>
  <si>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</si>
  <si>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</si>
  <si>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</si>
  <si>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</si>
  <si>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</si>
  <si>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</si>
  <si>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</si>
  <si>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</si>
  <si>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</si>
  <si>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</si>
  <si>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</si>
  <si>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</si>
  <si>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</si>
  <si>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</si>
  <si>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</si>
  <si>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</si>
  <si>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</si>
  <si>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</si>
  <si>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</si>
  <si>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</si>
  <si>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</si>
  <si>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</si>
  <si>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</si>
  <si>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</si>
  <si>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</si>
  <si>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</si>
  <si>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</si>
  <si>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</si>
  <si>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</si>
  <si>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</si>
  <si>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</si>
  <si>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</si>
  <si>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</si>
  <si>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</si>
  <si>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</si>
  <si>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</si>
  <si>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</si>
  <si>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</si>
  <si>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</si>
  <si>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</si>
  <si>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</si>
  <si>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</si>
  <si>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</si>
  <si>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</si>
  <si>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</si>
  <si>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</si>
  <si>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</si>
  <si>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</si>
  <si>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</si>
  <si>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</si>
  <si>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</si>
  <si>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</si>
  <si>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</si>
  <si>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</si>
  <si>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</si>
  <si>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</si>
  <si>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</si>
  <si>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</si>
  <si>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</si>
  <si>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</si>
  <si>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</si>
  <si>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</si>
  <si>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</si>
  <si>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</si>
  <si>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</si>
  <si>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</si>
  <si>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</si>
  <si>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</si>
  <si>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</si>
  <si>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</si>
  <si>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</si>
  <si>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</si>
  <si>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</si>
  <si>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</si>
  <si>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</si>
  <si>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</si>
  <si>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</si>
  <si>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</si>
  <si>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</si>
  <si>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</si>
  <si>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</si>
  <si>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</si>
  <si>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</si>
  <si>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</si>
  <si>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</si>
  <si>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</si>
  <si>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</si>
  <si>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</si>
  <si>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</si>
  <si>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</si>
  <si>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</si>
  <si>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</si>
  <si>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</si>
  <si>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</si>
  <si>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</si>
  <si>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</si>
  <si>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</si>
  <si>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</si>
  <si>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</si>
  <si>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</si>
  <si>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</si>
  <si>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</si>
  <si>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</si>
  <si>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</si>
  <si>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</si>
  <si>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</si>
  <si>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</si>
  <si>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</si>
  <si>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</si>
  <si>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</si>
  <si>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</si>
  <si>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</si>
  <si>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</si>
  <si>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</si>
  <si>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</si>
  <si>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</si>
  <si>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</si>
  <si>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</si>
  <si>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</si>
  <si>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</si>
  <si>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</si>
  <si>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</si>
  <si>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</si>
  <si>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</si>
  <si>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</si>
  <si>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</si>
  <si>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</si>
  <si>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</si>
  <si>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</si>
  <si>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</si>
  <si>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</si>
  <si>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</si>
  <si>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</si>
  <si>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</si>
  <si>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</si>
  <si>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</si>
  <si>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</si>
  <si>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</si>
  <si>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</si>
  <si>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</si>
  <si>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</si>
  <si>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</si>
  <si>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</si>
  <si>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</si>
  <si>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</si>
  <si>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</si>
  <si>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</si>
  <si>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</si>
  <si>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</si>
  <si>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</si>
  <si>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</si>
  <si>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</si>
  <si>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</si>
  <si>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</si>
  <si>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</si>
  <si>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</si>
  <si>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</si>
  <si>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</si>
  <si>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</si>
  <si>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</si>
  <si>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</si>
  <si>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</si>
  <si>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</si>
  <si>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</si>
  <si>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</si>
  <si>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</si>
  <si>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</si>
  <si>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</si>
  <si>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</si>
  <si>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</si>
  <si>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</si>
  <si>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</si>
  <si>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</si>
  <si>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</si>
  <si>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</si>
  <si>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</si>
  <si>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</si>
  <si>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</si>
  <si>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</si>
  <si>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</si>
  <si>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</si>
  <si>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</si>
  <si>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</si>
  <si>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</si>
  <si>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</si>
  <si>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</si>
  <si>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</si>
  <si>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</si>
  <si>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</si>
  <si>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</si>
  <si>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</si>
  <si>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</si>
  <si>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</si>
  <si>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</si>
  <si>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</si>
  <si>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</si>
  <si>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</si>
  <si>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</si>
  <si>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</si>
  <si>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</si>
  <si>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</si>
  <si>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</si>
  <si>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</si>
  <si>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</si>
  <si>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</si>
  <si>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</si>
  <si>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</si>
  <si>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</si>
  <si>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</si>
  <si>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</si>
  <si>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</si>
  <si>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</si>
  <si>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</si>
  <si>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</si>
  <si>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</si>
  <si>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</si>
  <si>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</si>
  <si>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</si>
  <si>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</si>
  <si>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</si>
  <si>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</si>
  <si>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</si>
  <si>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</si>
  <si>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</si>
  <si>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</si>
  <si>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</si>
  <si>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</si>
  <si>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</si>
  <si>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</si>
  <si>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</si>
  <si>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</si>
  <si>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</si>
  <si>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</si>
  <si>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</si>
  <si>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</si>
  <si>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</si>
  <si>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</si>
  <si>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</si>
  <si>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</si>
  <si>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</si>
  <si>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</si>
  <si>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</si>
  <si>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</si>
  <si>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</si>
  <si>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</si>
  <si>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</si>
  <si>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</si>
  <si>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</si>
  <si>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</si>
  <si>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</si>
  <si>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</si>
  <si>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</si>
  <si>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</si>
  <si>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</si>
  <si>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</si>
  <si>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</si>
  <si>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</si>
  <si>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</si>
  <si>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</si>
  <si>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</si>
  <si>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</si>
  <si>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</si>
  <si>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</si>
  <si>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</si>
  <si>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</si>
  <si>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</si>
  <si>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</si>
  <si>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</si>
  <si>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</si>
  <si>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</si>
  <si>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</si>
  <si>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</si>
  <si>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</si>
  <si>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</si>
  <si>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</si>
  <si>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</si>
  <si>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</si>
  <si>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</si>
  <si>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</si>
  <si>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</si>
  <si>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</si>
  <si>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</si>
  <si>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</si>
  <si>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</si>
  <si>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</si>
  <si>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</si>
  <si>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</si>
  <si>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</si>
  <si>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</si>
  <si>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</si>
  <si>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</si>
  <si>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</si>
  <si>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</si>
  <si>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</si>
  <si>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</si>
  <si>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</si>
  <si>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</si>
  <si>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</si>
  <si>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</si>
  <si>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</si>
  <si>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</si>
  <si>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</si>
  <si>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</si>
  <si>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</si>
  <si>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</si>
  <si>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</si>
  <si>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</si>
  <si>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</si>
  <si>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</si>
  <si>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</si>
  <si>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</si>
  <si>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</si>
  <si>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</si>
  <si>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</si>
  <si>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</si>
  <si>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</si>
  <si>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</si>
  <si>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</si>
  <si>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</si>
  <si>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</si>
  <si>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</si>
  <si>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</si>
  <si>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</si>
  <si>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</si>
  <si>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</si>
  <si>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</si>
  <si>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</si>
  <si>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</si>
  <si>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</si>
  <si>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</si>
  <si>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</si>
  <si>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</si>
  <si>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</si>
  <si>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</si>
  <si>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</si>
  <si>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</si>
  <si>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</si>
  <si>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</si>
  <si>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</si>
  <si>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</si>
  <si>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</si>
  <si>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</si>
  <si>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</si>
  <si>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</si>
  <si>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</si>
  <si>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</si>
  <si>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</si>
  <si>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</si>
  <si>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</si>
  <si>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</si>
  <si>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</si>
  <si>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</si>
  <si>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</si>
  <si>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</si>
  <si>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</si>
  <si>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</si>
  <si>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</si>
  <si>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</si>
  <si>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</si>
  <si>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</si>
  <si>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</si>
  <si>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</si>
  <si>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</si>
  <si>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</si>
  <si>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</si>
  <si>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</si>
  <si>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</si>
  <si>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</si>
  <si>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</si>
  <si>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</si>
  <si>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</si>
  <si>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</si>
  <si>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</si>
  <si>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</si>
  <si>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</si>
  <si>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</si>
  <si>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</si>
  <si>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</si>
  <si>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</si>
  <si>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</si>
  <si>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</si>
  <si>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</si>
  <si>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</si>
  <si>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</si>
  <si>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</si>
  <si>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</si>
  <si>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</si>
  <si>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</si>
  <si>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</si>
  <si>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</si>
  <si>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</si>
  <si>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</si>
  <si>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</si>
  <si>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</si>
  <si>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</si>
  <si>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</si>
  <si>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</si>
  <si>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</si>
  <si>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</si>
  <si>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</si>
  <si>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</si>
  <si>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</si>
  <si>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</si>
  <si>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</si>
  <si>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</si>
  <si>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</si>
  <si>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</si>
  <si>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</si>
  <si>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</si>
  <si>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</si>
  <si>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</si>
  <si>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</si>
  <si>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</si>
  <si>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</si>
  <si>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</si>
  <si>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</si>
  <si>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</si>
  <si>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</si>
  <si>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</si>
  <si>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</si>
  <si>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</si>
  <si>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</si>
  <si>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</si>
  <si>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</si>
  <si>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</si>
  <si>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</si>
  <si>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</si>
  <si>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</si>
  <si>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</si>
  <si>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</si>
  <si>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</si>
  <si>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</si>
  <si>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</si>
  <si>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</si>
  <si>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</si>
  <si>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</si>
  <si>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</si>
  <si>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</si>
  <si>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</si>
  <si>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</si>
  <si>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</si>
  <si>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</si>
  <si>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</si>
  <si>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</si>
  <si>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</si>
  <si>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</si>
  <si>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</si>
  <si>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</si>
  <si>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</si>
  <si>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</si>
  <si>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</si>
  <si>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</si>
  <si>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</si>
  <si>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</si>
  <si>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</si>
  <si>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</si>
  <si>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</si>
  <si>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</si>
  <si>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</si>
  <si>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</si>
  <si>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</si>
  <si>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</si>
  <si>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</si>
  <si>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</si>
  <si>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</si>
  <si>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</si>
  <si>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</si>
  <si>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</si>
  <si>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</si>
  <si>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</si>
  <si>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</si>
  <si>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</si>
  <si>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</si>
  <si>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</si>
  <si>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</si>
  <si>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</si>
  <si>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</si>
  <si>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</si>
  <si>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</si>
  <si>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</si>
  <si>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</si>
  <si>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</si>
  <si>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</si>
  <si>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</si>
  <si>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</si>
  <si>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</si>
  <si>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</si>
  <si>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</si>
  <si>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</si>
  <si>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</si>
  <si>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</si>
  <si>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</si>
  <si>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</si>
  <si>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</si>
  <si>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</si>
  <si>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</si>
  <si>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</si>
  <si>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</si>
  <si>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</si>
  <si>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</si>
  <si>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</si>
  <si>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</si>
  <si>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</si>
  <si>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</si>
  <si>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</si>
  <si>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</si>
  <si>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</si>
  <si>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</si>
  <si>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</si>
  <si>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</si>
  <si>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</si>
  <si>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</si>
  <si>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</si>
  <si>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</si>
  <si>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</si>
  <si>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</si>
  <si>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</si>
  <si>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</si>
  <si>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</si>
  <si>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</si>
  <si>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</si>
  <si>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</si>
  <si>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</si>
  <si>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</si>
  <si>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</si>
  <si>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</si>
  <si>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</si>
  <si>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</si>
  <si>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</si>
  <si>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</si>
  <si>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</si>
  <si>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</si>
  <si>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</si>
  <si>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</si>
  <si>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</si>
  <si>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</si>
  <si>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</si>
  <si>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</si>
  <si>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</si>
  <si>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</si>
  <si>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</si>
  <si>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</si>
  <si>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</si>
  <si>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</si>
  <si>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</si>
  <si>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</si>
  <si>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</si>
  <si>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</si>
  <si>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</si>
  <si>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</si>
  <si>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</si>
  <si>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</si>
  <si>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</si>
  <si>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</si>
  <si>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</si>
  <si>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</si>
  <si>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</si>
  <si>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</si>
  <si>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</si>
  <si>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</si>
  <si>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</si>
  <si>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</si>
  <si>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</si>
  <si>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</si>
  <si>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</si>
  <si>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</si>
  <si>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</si>
  <si>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</si>
  <si>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</si>
  <si>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</si>
  <si>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</si>
  <si>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</si>
  <si>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</si>
  <si>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</si>
  <si>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</si>
  <si>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</si>
  <si>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</si>
  <si>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</si>
  <si>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</si>
  <si>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</si>
  <si>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</si>
  <si>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</si>
  <si>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</si>
  <si>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</si>
  <si>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</si>
  <si>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</si>
  <si>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</si>
  <si>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</si>
  <si>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</si>
  <si>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</si>
  <si>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</si>
  <si>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</si>
  <si>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</si>
  <si>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</si>
  <si>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</si>
  <si>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</si>
  <si>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</si>
  <si>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</si>
  <si>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</si>
  <si>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</si>
  <si>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</si>
  <si>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</si>
  <si>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</si>
  <si>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</si>
  <si>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</si>
  <si>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</si>
  <si>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</si>
  <si>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</si>
  <si>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</si>
  <si>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</si>
  <si>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</si>
  <si>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</si>
  <si>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</si>
  <si>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</si>
  <si>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</si>
  <si>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</si>
  <si>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</si>
  <si>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</si>
  <si>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</si>
  <si>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</si>
  <si>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</si>
  <si>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</si>
  <si>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</si>
  <si>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</si>
  <si>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</si>
  <si>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</si>
  <si>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</si>
  <si>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</si>
  <si>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</si>
  <si>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</si>
  <si>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</si>
  <si>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</si>
  <si>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</si>
  <si>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</si>
  <si>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</si>
  <si>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</si>
  <si>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</si>
  <si>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</si>
  <si>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</si>
  <si>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</si>
  <si>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</si>
  <si>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</si>
  <si>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</si>
  <si>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</si>
  <si>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</si>
  <si>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</si>
  <si>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</si>
  <si>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</si>
  <si>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</si>
  <si>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</si>
  <si>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</si>
  <si>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</si>
  <si>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</si>
  <si>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</si>
  <si>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</si>
  <si>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</si>
  <si>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</si>
  <si>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</si>
  <si>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</si>
  <si>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</si>
  <si>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</si>
  <si>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</si>
  <si>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</si>
  <si>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</si>
  <si>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</si>
  <si>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</si>
  <si>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</si>
  <si>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</si>
  <si>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</si>
  <si>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</si>
  <si>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</si>
  <si>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</si>
  <si>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</si>
  <si>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</si>
  <si>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</si>
  <si>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</si>
  <si>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</si>
  <si>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</si>
  <si>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</si>
  <si>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</si>
  <si>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</si>
  <si>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</si>
  <si>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</si>
  <si>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</si>
  <si>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</si>
  <si>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</si>
  <si>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</si>
  <si>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</si>
  <si>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</si>
  <si>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</si>
  <si>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</si>
  <si>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</si>
  <si>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</si>
  <si>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</si>
  <si>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</si>
  <si>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</si>
  <si>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</si>
  <si>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</si>
  <si>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</si>
  <si>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</si>
  <si>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</si>
  <si>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</si>
  <si>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</si>
  <si>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</si>
  <si>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</si>
  <si>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</si>
  <si>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</si>
  <si>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</si>
  <si>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</si>
  <si>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</si>
  <si>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</si>
  <si>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</si>
  <si>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</si>
  <si>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</si>
  <si>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</si>
  <si>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</si>
  <si>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</si>
  <si>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</si>
  <si>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</si>
  <si>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</si>
  <si>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</si>
  <si>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</si>
  <si>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</si>
  <si>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</si>
  <si>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</si>
  <si>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</si>
  <si>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</si>
  <si>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</si>
  <si>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</si>
  <si>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</si>
  <si>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</si>
  <si>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</si>
  <si>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</si>
  <si>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</si>
  <si>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</si>
  <si>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</si>
  <si>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</si>
  <si>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</si>
  <si>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</si>
  <si>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</si>
  <si>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</si>
  <si>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</si>
  <si>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</si>
  <si>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</si>
  <si>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</si>
  <si>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</si>
  <si>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</si>
  <si>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</si>
  <si>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</si>
  <si>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</si>
  <si>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</si>
  <si>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</si>
  <si>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</si>
  <si>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</si>
  <si>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</si>
  <si>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</si>
  <si>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</si>
  <si>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</si>
  <si>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</si>
  <si>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</si>
  <si>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</si>
  <si>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</si>
  <si>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</si>
  <si>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</si>
  <si>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</si>
  <si>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</si>
  <si>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</si>
  <si>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</si>
  <si>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</si>
  <si>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</si>
  <si>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</si>
  <si>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</si>
  <si>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</si>
  <si>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</si>
  <si>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</si>
  <si>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</si>
  <si>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</si>
  <si>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</si>
  <si>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</si>
  <si>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</si>
  <si>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</si>
  <si>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</si>
  <si>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</si>
  <si>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</si>
  <si>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</si>
  <si>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</si>
  <si>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</si>
  <si>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</si>
  <si>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</si>
  <si>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</si>
  <si>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</si>
  <si>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</si>
  <si>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</si>
  <si>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</si>
  <si>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</si>
  <si>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</si>
  <si>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</si>
  <si>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</si>
  <si>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</si>
  <si>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</si>
  <si>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</si>
  <si>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</si>
  <si>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</si>
  <si>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</si>
  <si>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</si>
  <si>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</si>
  <si>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</si>
  <si>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</si>
  <si>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</si>
  <si>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</si>
  <si>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</si>
  <si>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</si>
  <si>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</si>
  <si>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</si>
  <si>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</si>
  <si>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</si>
  <si>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</si>
  <si>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</si>
  <si>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</si>
  <si>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</si>
  <si>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</si>
  <si>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</si>
  <si>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</si>
  <si>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</si>
  <si>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</si>
  <si>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</si>
  <si>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</si>
  <si>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</si>
  <si>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</si>
  <si>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</si>
  <si>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</si>
  <si>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</si>
  <si>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</si>
  <si>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</si>
  <si>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</si>
  <si>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</si>
  <si>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</si>
  <si>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</si>
  <si>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</si>
  <si>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</si>
  <si>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</si>
  <si>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</si>
  <si>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</si>
  <si>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</si>
  <si>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</si>
  <si>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</si>
  <si>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</si>
  <si>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</si>
  <si>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</si>
  <si>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</si>
  <si>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</si>
  <si>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</si>
  <si>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</si>
  <si>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</si>
  <si>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</si>
  <si>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</si>
  <si>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</si>
  <si>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</si>
  <si>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</si>
  <si>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</si>
  <si>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</si>
  <si>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</si>
  <si>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</si>
  <si>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</si>
  <si>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</si>
  <si>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</si>
  <si>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</si>
  <si>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</si>
  <si>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</si>
  <si>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</si>
  <si>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</si>
  <si>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</si>
  <si>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</si>
  <si>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</si>
  <si>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</si>
  <si>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</si>
  <si>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</si>
  <si>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</si>
  <si>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</si>
  <si>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</si>
  <si>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</si>
  <si>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</si>
  <si>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</si>
  <si>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</si>
  <si>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</si>
  <si>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</si>
  <si>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</si>
  <si>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</si>
  <si>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</si>
  <si>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</si>
  <si>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</si>
  <si>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</si>
  <si>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</si>
  <si>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</si>
  <si>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</si>
  <si>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</si>
  <si>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</si>
  <si>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</si>
  <si>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</si>
  <si>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</si>
  <si>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</si>
  <si>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</si>
  <si>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</si>
  <si>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</si>
  <si>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</si>
  <si>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</si>
  <si>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</si>
  <si>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</si>
  <si>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</si>
  <si>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</si>
  <si>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</si>
  <si>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</si>
  <si>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</si>
  <si>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</si>
  <si>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</si>
  <si>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</si>
  <si>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</si>
  <si>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</si>
  <si>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</si>
  <si>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</si>
  <si>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</si>
  <si>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</si>
  <si>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</si>
  <si>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</si>
  <si>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</si>
  <si>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</si>
  <si>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</si>
  <si>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</si>
  <si>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</si>
  <si>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</si>
  <si>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</si>
  <si>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</si>
  <si>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</si>
  <si>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</si>
  <si>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</si>
  <si>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</si>
  <si>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</si>
  <si>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</si>
  <si>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</si>
  <si>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</si>
  <si>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</si>
  <si>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</si>
  <si>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</si>
  <si>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</si>
  <si>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</si>
  <si>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</si>
  <si>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</si>
  <si>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</si>
  <si>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</si>
  <si>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</si>
  <si>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</si>
  <si>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</si>
  <si>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</si>
  <si>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</si>
  <si>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</si>
  <si>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</si>
  <si>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</si>
  <si>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</si>
  <si>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</si>
  <si>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</si>
  <si>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</si>
  <si>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</si>
  <si>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</si>
  <si>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</si>
  <si>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</si>
  <si>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</si>
  <si>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</si>
  <si>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</si>
  <si>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</si>
  <si>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</si>
  <si>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</si>
  <si>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</si>
  <si>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</si>
  <si>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</si>
  <si>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</si>
  <si>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</si>
  <si>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</si>
  <si>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</si>
  <si>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</si>
  <si>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</si>
  <si>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</si>
  <si>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</si>
  <si>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</si>
  <si>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</si>
  <si>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</si>
  <si>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</si>
  <si>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</si>
  <si>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</si>
  <si>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</si>
  <si>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</si>
  <si>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</si>
  <si>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</si>
  <si>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</si>
  <si>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</si>
  <si>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</si>
  <si>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</si>
  <si>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</si>
  <si>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</si>
  <si>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</si>
  <si>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</si>
  <si>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</si>
  <si>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</si>
  <si>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</si>
  <si>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</si>
  <si>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</si>
  <si>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</si>
  <si>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</si>
  <si>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</si>
  <si>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</si>
  <si>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</si>
  <si>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</si>
  <si>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</si>
  <si>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</si>
  <si>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</si>
  <si>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</si>
  <si>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</si>
  <si>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</si>
  <si>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</si>
  <si>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</si>
  <si>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</si>
  <si>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</si>
  <si>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</si>
  <si>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</si>
  <si>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</si>
  <si>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</si>
  <si>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</si>
  <si>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</si>
  <si>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</si>
  <si>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</si>
  <si>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</si>
  <si>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</si>
  <si>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</si>
  <si>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</si>
  <si>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</si>
  <si>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</si>
  <si>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</si>
  <si>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</si>
  <si>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</si>
  <si>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</si>
  <si>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</si>
  <si>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</si>
  <si>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</si>
  <si>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</si>
  <si>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</si>
  <si>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</si>
  <si>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</si>
  <si>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</si>
  <si>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</si>
  <si>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</si>
  <si>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</si>
  <si>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</si>
  <si>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</si>
  <si>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</si>
  <si>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</si>
  <si>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</si>
  <si>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</si>
  <si>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</si>
  <si>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</si>
  <si>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</si>
  <si>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</si>
  <si>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</si>
  <si>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</si>
  <si>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</si>
  <si>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</si>
  <si>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</si>
  <si>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</si>
  <si>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</si>
  <si>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</si>
  <si>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</si>
  <si>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</si>
  <si>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</si>
  <si>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</si>
  <si>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</si>
  <si>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</si>
  <si>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</si>
  <si>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</si>
  <si>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</si>
  <si>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</si>
  <si>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</si>
  <si>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</si>
  <si>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</si>
  <si>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</si>
  <si>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</si>
  <si>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</si>
  <si>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</si>
  <si>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</si>
  <si>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</si>
  <si>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</si>
  <si>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</si>
  <si>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</si>
  <si>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</si>
  <si>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</si>
  <si>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</si>
  <si>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</si>
  <si>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</si>
  <si>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</si>
  <si>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</si>
  <si>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</si>
  <si>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</si>
  <si>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</si>
  <si>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</si>
  <si>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</si>
  <si>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</si>
  <si>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</si>
  <si>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</si>
  <si>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</si>
  <si>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</si>
  <si>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</si>
  <si>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</si>
  <si>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</si>
  <si>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</si>
  <si>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</si>
  <si>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</si>
  <si>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</si>
  <si>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</si>
  <si>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</si>
  <si>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</si>
  <si>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</si>
  <si>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</si>
  <si>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</si>
  <si>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</si>
  <si>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</si>
  <si>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</si>
  <si>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</si>
  <si>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</si>
  <si>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</si>
  <si>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</si>
  <si>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</si>
  <si>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</si>
  <si>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</si>
  <si>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</si>
  <si>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</si>
  <si>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</si>
  <si>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</si>
  <si>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</si>
  <si>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</si>
  <si>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</si>
  <si>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</si>
  <si>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</si>
  <si>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</si>
  <si>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</si>
  <si>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</si>
  <si>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</si>
  <si>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</si>
  <si>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</si>
  <si>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</si>
  <si>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</si>
  <si>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</si>
  <si>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</si>
  <si>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</si>
  <si>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</si>
  <si>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</si>
  <si>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</si>
  <si>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</si>
  <si>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</si>
  <si>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</si>
  <si>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</si>
  <si>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</si>
  <si>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</si>
  <si>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</si>
  <si>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</si>
  <si>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</si>
  <si>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</si>
  <si>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</si>
  <si>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</si>
  <si>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</si>
  <si>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</si>
  <si>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</si>
  <si>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</si>
  <si>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</si>
  <si>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</si>
  <si>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</si>
  <si>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</si>
  <si>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</si>
  <si>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</si>
  <si>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</si>
  <si>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</si>
  <si>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</si>
  <si>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</si>
  <si>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</si>
  <si>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</si>
  <si>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</si>
  <si>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</si>
  <si>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</si>
  <si>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</si>
  <si>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</si>
  <si>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</si>
  <si>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</si>
  <si>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</si>
  <si>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</si>
  <si>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</si>
  <si>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</si>
  <si>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</si>
  <si>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</si>
  <si>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</si>
  <si>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</si>
  <si>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</si>
  <si>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</si>
  <si>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</si>
  <si>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</si>
  <si>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</si>
  <si>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</si>
  <si>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</si>
  <si>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</si>
  <si>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</si>
  <si>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</si>
  <si>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</si>
  <si>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</si>
  <si>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</si>
  <si>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</si>
  <si>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</si>
  <si>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</si>
  <si>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</si>
  <si>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</si>
  <si>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</si>
  <si>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</si>
  <si>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</si>
  <si>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</si>
  <si>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</si>
  <si>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</si>
  <si>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</si>
  <si>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</si>
  <si>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</si>
  <si>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</si>
  <si>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</si>
  <si>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</si>
  <si>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</si>
  <si>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</si>
  <si>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</si>
  <si>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</si>
  <si>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</si>
  <si>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</si>
  <si>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</si>
  <si>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</si>
  <si>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</si>
  <si>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</si>
  <si>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</si>
  <si>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</si>
  <si>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</si>
  <si>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</si>
  <si>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</si>
  <si>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</si>
  <si>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</si>
  <si>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</si>
  <si>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</si>
  <si>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</si>
  <si>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</si>
  <si>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</si>
  <si>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</si>
  <si>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</si>
  <si>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</si>
  <si>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</si>
  <si>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</si>
  <si>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</si>
  <si>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</si>
  <si>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</si>
  <si>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</si>
  <si>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</si>
  <si>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</si>
  <si>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</si>
  <si>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</si>
  <si>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</si>
  <si>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</si>
  <si>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</si>
  <si>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</si>
  <si>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</si>
  <si>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</si>
  <si>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</si>
  <si>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</si>
  <si>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</si>
  <si>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</si>
  <si>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</si>
  <si>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</si>
  <si>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</si>
  <si>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</si>
  <si>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</si>
  <si>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</si>
  <si>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</si>
  <si>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</si>
  <si>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</si>
  <si>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</si>
  <si>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</si>
  <si>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</si>
  <si>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</si>
  <si>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</si>
  <si>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</si>
  <si>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</si>
  <si>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</si>
  <si>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</si>
  <si>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</si>
  <si>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</si>
  <si>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</si>
  <si>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</si>
  <si>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</si>
  <si>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</si>
  <si>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</si>
  <si>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</si>
  <si>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</si>
  <si>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</si>
  <si>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</si>
  <si>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</si>
  <si>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</si>
  <si>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</si>
  <si>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</si>
  <si>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</si>
  <si>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</si>
  <si>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</si>
  <si>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</si>
  <si>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</si>
  <si>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</si>
  <si>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</si>
  <si>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</si>
  <si>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</si>
  <si>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</si>
  <si>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</si>
  <si>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</si>
  <si>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</si>
  <si>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</si>
  <si>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</si>
  <si>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</si>
  <si>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</si>
  <si>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</si>
  <si>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</si>
  <si>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</si>
  <si>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</si>
  <si>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</si>
  <si>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</si>
  <si>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</si>
  <si>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</si>
  <si>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</si>
  <si>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</si>
  <si>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</si>
  <si>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</si>
  <si>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</si>
  <si>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</si>
  <si>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</si>
  <si>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</si>
  <si>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</si>
  <si>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</si>
  <si>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</si>
  <si>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</si>
  <si>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</si>
  <si>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</si>
  <si>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</si>
  <si>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</si>
  <si>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</si>
  <si>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</si>
  <si>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</si>
  <si>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</si>
  <si>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</si>
  <si>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</si>
  <si>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</si>
  <si>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</si>
  <si>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</si>
  <si>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</si>
  <si>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</si>
  <si>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</si>
  <si>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</si>
  <si>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</si>
  <si>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</si>
  <si>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</si>
  <si>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</si>
  <si>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</si>
  <si>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</si>
  <si>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</si>
  <si>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</si>
  <si>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</si>
  <si>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</si>
  <si>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</si>
  <si>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</si>
  <si>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</si>
  <si>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</si>
  <si>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</si>
  <si>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</si>
  <si>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</si>
  <si>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</si>
  <si>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</si>
  <si>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</si>
  <si>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</si>
  <si>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</si>
  <si>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</si>
  <si>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</si>
  <si>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</si>
  <si>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</si>
  <si>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</si>
  <si>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</si>
  <si>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</si>
  <si>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</si>
  <si>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</si>
  <si>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</si>
  <si>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</si>
  <si>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</si>
  <si>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</si>
  <si>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</si>
  <si>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</si>
  <si>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</si>
  <si>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</si>
  <si>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</si>
  <si>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</si>
  <si>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</si>
  <si>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</si>
  <si>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</si>
  <si>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</si>
  <si>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</si>
  <si>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</si>
  <si>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</si>
  <si>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</si>
  <si>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</si>
  <si>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</si>
  <si>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</si>
  <si>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</si>
  <si>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</si>
  <si>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</si>
  <si>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</si>
  <si>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</si>
  <si>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</si>
  <si>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</si>
  <si>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</si>
  <si>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</si>
  <si>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</si>
  <si>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</si>
  <si>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</si>
  <si>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</si>
  <si>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</si>
  <si>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</si>
  <si>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</si>
  <si>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</si>
  <si>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</si>
  <si>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</si>
  <si>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</si>
  <si>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</si>
  <si>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</si>
  <si>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</si>
  <si>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</si>
  <si>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</si>
  <si>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</si>
  <si>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</si>
  <si>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</si>
  <si>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</si>
  <si>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</si>
  <si>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</si>
  <si>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</si>
  <si>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</si>
  <si>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</si>
  <si>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</si>
  <si>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</si>
  <si>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</si>
  <si>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</si>
  <si>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</si>
  <si>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</si>
  <si>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</si>
  <si>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</si>
  <si>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</si>
  <si>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</si>
  <si>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</si>
  <si>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</si>
  <si>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</si>
  <si>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</si>
  <si>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</si>
  <si>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</si>
  <si>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</si>
  <si>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</si>
  <si>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</si>
  <si>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</si>
  <si>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</si>
  <si>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</si>
  <si>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</si>
  <si>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</si>
  <si>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</si>
  <si>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</si>
  <si>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</si>
  <si>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</si>
  <si>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</si>
  <si>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</si>
  <si>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</si>
  <si>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</si>
  <si>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</si>
  <si>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</si>
  <si>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</si>
  <si>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</si>
  <si>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</si>
  <si>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</si>
  <si>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</si>
  <si>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</si>
  <si>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</si>
  <si>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</si>
  <si>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</si>
  <si>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</si>
  <si>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</si>
  <si>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</si>
  <si>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</si>
  <si>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</si>
  <si>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</si>
  <si>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</si>
  <si>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</si>
  <si>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</si>
  <si>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</si>
  <si>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</si>
  <si>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</si>
  <si>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</si>
  <si>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</si>
  <si>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</si>
  <si>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</si>
  <si>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</si>
  <si>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</si>
  <si>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</si>
  <si>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</si>
  <si>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</si>
  <si>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</si>
  <si>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</si>
  <si>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</si>
  <si>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</si>
  <si>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</si>
  <si>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</si>
  <si>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</si>
  <si>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</si>
  <si>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</si>
  <si>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</si>
  <si>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</si>
  <si>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</si>
  <si>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</si>
  <si>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</si>
  <si>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</si>
  <si>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</si>
  <si>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</si>
  <si>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</si>
  <si>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</si>
  <si>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</si>
  <si>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</si>
  <si>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</si>
  <si>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</si>
  <si>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</si>
  <si>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</si>
  <si>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</si>
  <si>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</si>
  <si>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</si>
  <si>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</si>
  <si>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</si>
  <si>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</si>
  <si>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</si>
  <si>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</si>
  <si>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</si>
  <si>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</si>
  <si>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</si>
  <si>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</si>
  <si>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</si>
  <si>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</si>
  <si>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</si>
  <si>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</si>
  <si>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</si>
  <si>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</si>
  <si>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</si>
  <si>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</si>
  <si>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</si>
  <si>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</si>
  <si>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</si>
  <si>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</si>
  <si>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</si>
  <si>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</si>
  <si>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</si>
  <si>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</si>
  <si>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</si>
  <si>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</si>
  <si>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</si>
  <si>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</si>
  <si>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</si>
  <si>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</si>
  <si>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</si>
  <si>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</si>
  <si>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</si>
  <si>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</si>
  <si>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</si>
  <si>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</si>
  <si>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</si>
  <si>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</si>
  <si>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</si>
  <si>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</si>
  <si>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</si>
  <si>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</si>
  <si>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</si>
  <si>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</si>
  <si>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</si>
  <si>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</si>
  <si>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</si>
  <si>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</si>
  <si>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</si>
  <si>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</si>
  <si>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</si>
  <si>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</si>
  <si>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</si>
  <si>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</si>
  <si>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</si>
  <si>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</si>
  <si>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</si>
  <si>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</si>
  <si>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</si>
  <si>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</si>
  <si>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</si>
  <si>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</si>
  <si>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</si>
  <si>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</si>
  <si>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</si>
  <si>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</si>
  <si>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</si>
  <si>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</si>
  <si>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</si>
  <si>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</si>
  <si>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</si>
  <si>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</si>
  <si>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</si>
  <si>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</si>
  <si>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</si>
  <si>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</si>
  <si>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</si>
  <si>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</si>
  <si>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</si>
  <si>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</si>
  <si>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</si>
  <si>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</si>
  <si>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</si>
  <si>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</si>
  <si>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</si>
  <si>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</si>
  <si>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</si>
  <si>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</si>
  <si>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</si>
  <si>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</si>
  <si>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</si>
  <si>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</si>
  <si>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</si>
  <si>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</si>
  <si>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</si>
  <si>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</si>
  <si>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</si>
  <si>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</si>
  <si>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</si>
  <si>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</si>
  <si>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</si>
  <si>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</si>
  <si>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</si>
  <si>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</si>
  <si>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</si>
  <si>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</si>
  <si>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</si>
  <si>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</si>
  <si>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</si>
  <si>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</si>
  <si>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</si>
  <si>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</si>
  <si>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</si>
  <si>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</si>
  <si>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</si>
  <si>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</si>
  <si>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</si>
  <si>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</si>
  <si>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</si>
  <si>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</si>
  <si>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</si>
  <si>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</si>
  <si>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</si>
  <si>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</si>
  <si>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</si>
  <si>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</si>
  <si>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</si>
  <si>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</si>
  <si>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</si>
  <si>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</si>
  <si>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</si>
  <si>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</si>
  <si>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</si>
  <si>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</si>
  <si>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</si>
  <si>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</si>
  <si>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</si>
  <si>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</si>
  <si>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</si>
  <si>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</si>
  <si>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</si>
  <si>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</si>
  <si>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</si>
  <si>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</si>
  <si>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</si>
  <si>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</si>
  <si>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</si>
  <si>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</si>
  <si>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</si>
  <si>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</si>
  <si>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</si>
  <si>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</si>
  <si>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</si>
  <si>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</si>
  <si>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</si>
  <si>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</si>
  <si>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</si>
  <si>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</si>
  <si>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</si>
  <si>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</si>
  <si>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</si>
  <si>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</si>
  <si>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</si>
  <si>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</si>
  <si>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</si>
  <si>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</si>
  <si>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</si>
  <si>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</si>
  <si>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</si>
  <si>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</si>
  <si>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</si>
  <si>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</si>
  <si>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</si>
  <si>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</si>
  <si>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</si>
  <si>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</si>
  <si>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</si>
  <si>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</si>
  <si>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</si>
  <si>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</si>
  <si>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</si>
  <si>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</si>
  <si>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</si>
  <si>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</si>
  <si>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</si>
  <si>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</si>
  <si>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</si>
  <si>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</si>
  <si>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</si>
  <si>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</si>
  <si>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</si>
  <si>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</si>
  <si>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</si>
  <si>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</si>
  <si>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</si>
  <si>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</si>
  <si>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</si>
  <si>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</si>
  <si>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</si>
  <si>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</si>
  <si>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</si>
  <si>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</si>
  <si>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</si>
  <si>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</si>
  <si>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</si>
  <si>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</si>
  <si>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</si>
  <si>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</si>
  <si>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</si>
  <si>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</si>
  <si>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</si>
  <si>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</si>
  <si>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</si>
  <si>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</si>
  <si>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</si>
  <si>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</si>
  <si>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</si>
  <si>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</si>
  <si>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</si>
  <si>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</si>
  <si>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</si>
  <si>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</si>
  <si>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</si>
  <si>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</si>
  <si>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</si>
  <si>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</si>
  <si>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</si>
  <si>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</si>
  <si>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</si>
  <si>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</si>
  <si>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</si>
  <si>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</si>
  <si>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</si>
  <si>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</si>
  <si>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</si>
  <si>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</si>
  <si>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</si>
  <si>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</si>
  <si>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</si>
  <si>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</si>
  <si>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</si>
  <si>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</si>
  <si>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</si>
  <si>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</si>
  <si>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</si>
  <si>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</si>
  <si>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</si>
  <si>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</si>
  <si>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</si>
  <si>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</si>
  <si>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</si>
  <si>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</si>
  <si>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</si>
  <si>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</si>
  <si>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</si>
  <si>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</si>
  <si>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</si>
  <si>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</si>
  <si>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</si>
  <si>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</si>
  <si>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</si>
  <si>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</si>
  <si>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</si>
  <si>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</si>
  <si>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</si>
  <si>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</si>
  <si>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</si>
  <si>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</si>
  <si>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</si>
  <si>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</si>
  <si>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</si>
  <si>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</si>
  <si>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</si>
  <si>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</si>
  <si>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</si>
  <si>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</si>
  <si>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</si>
  <si>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</si>
  <si>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</si>
  <si>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</si>
  <si>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</si>
  <si>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</si>
  <si>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</si>
  <si>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</si>
  <si>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</si>
  <si>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</si>
  <si>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</si>
  <si>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</si>
  <si>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</si>
  <si>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</si>
  <si>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</si>
  <si>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</si>
  <si>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</si>
  <si>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</si>
  <si>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</si>
  <si>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</si>
  <si>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</si>
  <si>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</si>
  <si>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</si>
  <si>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</si>
  <si>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</si>
  <si>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</si>
  <si>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</si>
  <si>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</si>
  <si>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</si>
  <si>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</si>
  <si>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</si>
  <si>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</si>
  <si>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</si>
  <si>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</si>
  <si>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</si>
  <si>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</si>
  <si>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</si>
  <si>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</si>
  <si>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</si>
  <si>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</si>
  <si>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</si>
  <si>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</si>
  <si>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</si>
  <si>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</si>
  <si>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</si>
  <si>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</si>
  <si>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</si>
  <si>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</si>
  <si>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</si>
  <si>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</si>
  <si>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</si>
  <si>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</si>
  <si>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</si>
  <si>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</si>
  <si>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</si>
  <si>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</si>
  <si>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</si>
  <si>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</si>
  <si>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</si>
  <si>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</si>
  <si>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</si>
  <si>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</si>
  <si>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</si>
  <si>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</si>
  <si>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</si>
  <si>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</si>
  <si>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</si>
  <si>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</si>
  <si>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</si>
  <si>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</si>
  <si>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</si>
  <si>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</si>
  <si>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</si>
  <si>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</si>
  <si>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</si>
  <si>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</si>
  <si>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</si>
  <si>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</si>
  <si>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</si>
  <si>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</si>
  <si>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</si>
  <si>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</si>
  <si>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</si>
  <si>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</si>
  <si>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</si>
  <si>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</si>
  <si>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</si>
  <si>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</si>
  <si>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</si>
  <si>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</si>
  <si>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</si>
  <si>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</si>
  <si>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</si>
  <si>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</si>
  <si>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</si>
  <si>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</si>
  <si>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</si>
  <si>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</si>
  <si>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</si>
  <si>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</si>
  <si>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</si>
  <si>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</si>
  <si>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</si>
  <si>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</si>
  <si>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</si>
  <si>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</si>
  <si>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</si>
  <si>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</si>
  <si>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</si>
  <si>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</si>
  <si>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</si>
  <si>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</si>
  <si>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</si>
  <si>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</si>
  <si>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</si>
  <si>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</si>
  <si>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</si>
  <si>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</si>
  <si>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</si>
  <si>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</si>
  <si>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</si>
  <si>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</si>
  <si>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</si>
  <si>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</si>
  <si>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</si>
  <si>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</si>
  <si>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</si>
  <si>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</si>
  <si>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</si>
  <si>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</si>
  <si>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</si>
  <si>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</si>
  <si>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</si>
  <si>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</si>
  <si>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</si>
  <si>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</si>
  <si>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</si>
  <si>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</si>
  <si>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</si>
  <si>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</si>
  <si>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</si>
  <si>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</si>
  <si>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</si>
  <si>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</si>
  <si>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</si>
  <si>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</si>
  <si>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</si>
  <si>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</si>
  <si>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</si>
  <si>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</si>
  <si>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</si>
  <si>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</si>
  <si>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</si>
  <si>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</si>
  <si>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</si>
  <si>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</si>
  <si>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</si>
  <si>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</si>
  <si>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</si>
  <si>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</si>
  <si>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</si>
  <si>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</si>
  <si>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</si>
  <si>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</si>
  <si>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</si>
  <si>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</si>
  <si>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</si>
  <si>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</si>
  <si>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</si>
  <si>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</si>
  <si>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</si>
  <si>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</si>
  <si>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</si>
  <si>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</si>
  <si>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</si>
  <si>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</si>
  <si>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</si>
  <si>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</si>
  <si>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</si>
  <si>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</si>
  <si>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</si>
  <si>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</si>
  <si>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</si>
  <si>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</si>
  <si>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</si>
  <si>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</si>
  <si>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</si>
  <si>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</si>
  <si>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</si>
  <si>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</si>
  <si>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</si>
  <si>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</si>
  <si>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</si>
  <si>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</si>
  <si>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</si>
  <si>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</si>
  <si>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</si>
  <si>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</si>
  <si>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</si>
  <si>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</si>
  <si>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</si>
  <si>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</si>
  <si>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</si>
  <si>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</si>
  <si>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</si>
  <si>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</si>
  <si>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</si>
  <si>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</si>
  <si>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</si>
  <si>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</si>
  <si>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</si>
  <si>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</si>
  <si>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</si>
  <si>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</si>
  <si>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</si>
  <si>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</si>
  <si>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</si>
  <si>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</si>
  <si>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</si>
  <si>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</si>
  <si>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</si>
  <si>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</si>
  <si>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</si>
  <si>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</si>
  <si>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</si>
  <si>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</si>
  <si>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</si>
  <si>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</si>
  <si>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</si>
  <si>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</si>
  <si>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</si>
  <si>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</si>
  <si>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</si>
  <si>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</si>
  <si>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</si>
  <si>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</si>
  <si>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</si>
  <si>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</si>
  <si>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</si>
  <si>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</si>
  <si>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</si>
  <si>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</si>
  <si>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</si>
  <si>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</si>
  <si>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</si>
  <si>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</si>
  <si>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</si>
  <si>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</si>
  <si>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</si>
  <si>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</si>
  <si>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</si>
  <si>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</si>
  <si>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</si>
  <si>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</si>
  <si>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</si>
  <si>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</si>
  <si>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</si>
  <si>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</si>
  <si>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</si>
  <si>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</si>
  <si>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</si>
  <si>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</si>
  <si>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</si>
  <si>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</si>
  <si>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</si>
  <si>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</si>
  <si>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</si>
  <si>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</si>
  <si>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</si>
  <si>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</si>
  <si>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</si>
  <si>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</si>
  <si>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</si>
  <si>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</si>
  <si>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</si>
  <si>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</si>
  <si>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</si>
  <si>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</si>
  <si>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</si>
  <si>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</si>
  <si>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</si>
  <si>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</si>
  <si>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</si>
  <si>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</si>
  <si>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</si>
  <si>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</si>
  <si>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</si>
  <si>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</si>
  <si>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</si>
  <si>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</si>
  <si>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</si>
  <si>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</si>
  <si>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</si>
  <si>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</si>
  <si>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</si>
  <si>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</si>
  <si>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</si>
  <si>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</si>
  <si>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</si>
  <si>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</si>
  <si>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</si>
  <si>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</si>
  <si>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</si>
  <si>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</si>
  <si>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</si>
  <si>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</si>
  <si>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</si>
  <si>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</si>
  <si>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</si>
  <si>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</si>
  <si>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</si>
  <si>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</si>
  <si>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</si>
  <si>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</si>
  <si>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</si>
  <si>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</si>
  <si>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</si>
  <si>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</si>
  <si>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</si>
  <si>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</si>
  <si>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</si>
  <si>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</si>
  <si>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</si>
  <si>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</si>
  <si>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</si>
  <si>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</si>
  <si>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</si>
  <si>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</si>
  <si>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</si>
  <si>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</si>
  <si>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</si>
  <si>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</si>
  <si>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</si>
  <si>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</si>
  <si>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</si>
  <si>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</si>
  <si>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</si>
  <si>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</si>
  <si>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</si>
  <si>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</si>
  <si>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</si>
  <si>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</si>
  <si>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</si>
  <si>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</si>
  <si>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</si>
  <si>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</si>
  <si>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</si>
  <si>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</si>
  <si>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</si>
  <si>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</si>
  <si>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</si>
  <si>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</si>
  <si>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</si>
  <si>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</si>
  <si>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</si>
  <si>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</si>
  <si>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</si>
  <si>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</si>
  <si>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</si>
  <si>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</si>
  <si>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</si>
  <si>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</si>
  <si>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</si>
  <si>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</si>
  <si>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</si>
  <si>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</si>
  <si>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</si>
  <si>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</si>
  <si>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</si>
  <si>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</si>
  <si>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</si>
  <si>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</si>
  <si>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</si>
  <si>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</si>
  <si>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</si>
  <si>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</si>
  <si>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</si>
  <si>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</si>
  <si>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</si>
  <si>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</si>
  <si>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</si>
  <si>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</si>
  <si>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</si>
  <si>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</si>
  <si>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</si>
  <si>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</si>
  <si>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</si>
  <si>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</si>
  <si>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</si>
  <si>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</si>
  <si>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</si>
  <si>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</si>
  <si>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</si>
  <si>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</si>
  <si>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</si>
  <si>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</si>
  <si>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</si>
  <si>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</si>
  <si>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</si>
  <si>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</si>
  <si>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</si>
  <si>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</si>
  <si>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</si>
  <si>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</si>
  <si>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</si>
  <si>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</si>
  <si>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</si>
  <si>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</si>
  <si>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</si>
  <si>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</si>
  <si>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</si>
  <si>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</si>
  <si>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</si>
  <si>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</si>
  <si>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</si>
  <si>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</si>
  <si>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</si>
  <si>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</si>
  <si>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</si>
  <si>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</si>
  <si>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</si>
  <si>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</si>
  <si>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</si>
  <si>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</si>
  <si>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</si>
  <si>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</si>
  <si>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</si>
  <si>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</si>
  <si>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</si>
  <si>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</si>
  <si>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</si>
  <si>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</si>
  <si>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</si>
  <si>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</si>
  <si>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</si>
  <si>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</si>
  <si>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</si>
  <si>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</si>
  <si>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</si>
  <si>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</si>
  <si>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</si>
  <si>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</si>
  <si>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</si>
  <si>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</si>
  <si>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</si>
  <si>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</si>
  <si>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</si>
  <si>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</si>
  <si>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</si>
  <si>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</si>
  <si>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</si>
  <si>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</si>
  <si>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</si>
  <si>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</si>
  <si>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</si>
  <si>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</si>
  <si>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</si>
  <si>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</si>
  <si>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</si>
  <si>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</si>
  <si>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</si>
  <si>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</si>
  <si>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</si>
  <si>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</si>
  <si>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</si>
  <si>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</si>
  <si>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</si>
  <si>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</si>
  <si>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</si>
  <si>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</si>
  <si>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</si>
  <si>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</si>
  <si>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</si>
  <si>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</si>
  <si>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</si>
  <si>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</si>
  <si>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</si>
  <si>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</si>
  <si>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</si>
  <si>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</si>
  <si>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</si>
  <si>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</si>
  <si>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</si>
  <si>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</si>
  <si>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</si>
  <si>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</si>
  <si>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</si>
  <si>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</si>
  <si>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</si>
  <si>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</si>
  <si>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</si>
  <si>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</si>
  <si>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</si>
  <si>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</si>
  <si>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</si>
  <si>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</si>
  <si>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</si>
  <si>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</si>
  <si>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</si>
  <si>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</si>
  <si>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</si>
  <si>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</si>
  <si>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</si>
  <si>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</si>
  <si>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</si>
  <si>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</si>
  <si>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</si>
  <si>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</si>
  <si>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</si>
  <si>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</si>
  <si>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</si>
  <si>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</si>
  <si>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</si>
  <si>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</si>
  <si>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</si>
  <si>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</si>
  <si>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</si>
  <si>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</si>
  <si>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</si>
  <si>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</si>
  <si>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</si>
  <si>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</si>
  <si>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</si>
  <si>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</si>
  <si>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</si>
  <si>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</si>
  <si>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</si>
  <si>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</si>
  <si>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</si>
  <si>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</si>
  <si>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</si>
  <si>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</si>
  <si>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</si>
  <si>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</si>
  <si>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</si>
  <si>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</si>
  <si>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</si>
  <si>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</si>
  <si>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</si>
  <si>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</si>
  <si>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</si>
  <si>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</si>
  <si>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</si>
  <si>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</si>
  <si>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</si>
  <si>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</si>
  <si>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</si>
  <si>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</si>
  <si>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</si>
  <si>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</si>
  <si>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</si>
  <si>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</si>
  <si>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</si>
  <si>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</si>
  <si>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</si>
  <si>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</si>
  <si>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</si>
  <si>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</si>
  <si>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</si>
  <si>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</si>
  <si>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</si>
  <si>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</si>
  <si>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</si>
  <si>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</si>
  <si>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</si>
  <si>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</si>
  <si>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</si>
  <si>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</si>
  <si>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</si>
  <si>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</si>
  <si>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</si>
  <si>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</si>
  <si>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</si>
  <si>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</si>
  <si>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</si>
  <si>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</si>
  <si>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</si>
  <si>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</si>
  <si>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</si>
  <si>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</si>
  <si>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</si>
  <si>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</si>
  <si>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</si>
  <si>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</si>
  <si>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</si>
  <si>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</si>
  <si>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</si>
  <si>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</si>
  <si>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</si>
  <si>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</si>
  <si>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</si>
  <si>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</si>
  <si>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</si>
  <si>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</si>
  <si>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</si>
  <si>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</si>
  <si>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</si>
  <si>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</si>
  <si>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</si>
  <si>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</si>
  <si>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</si>
  <si>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</si>
  <si>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</si>
  <si>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</si>
  <si>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</si>
  <si>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</si>
  <si>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</si>
  <si>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</si>
  <si>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</si>
  <si>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</si>
  <si>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</si>
  <si>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</si>
  <si>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</si>
  <si>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</si>
  <si>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</si>
  <si>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</si>
  <si>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</si>
  <si>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</si>
  <si>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</si>
  <si>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</si>
  <si>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</si>
  <si>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</si>
  <si>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</si>
  <si>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</si>
  <si>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</si>
  <si>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</si>
  <si>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</si>
  <si>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</si>
  <si>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</si>
  <si>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</si>
  <si>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</si>
  <si>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</si>
  <si>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</si>
  <si>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</si>
  <si>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</si>
  <si>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</si>
  <si>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</si>
  <si>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</si>
  <si>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</si>
  <si>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</si>
  <si>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</si>
  <si>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</si>
  <si>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</si>
  <si>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</si>
  <si>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</si>
  <si>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</si>
  <si>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</si>
  <si>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</si>
  <si>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</si>
  <si>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</si>
  <si>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</si>
  <si>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</si>
  <si>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</si>
  <si>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</si>
  <si>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</si>
  <si>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</si>
  <si>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</si>
  <si>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</si>
  <si>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</si>
  <si>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</si>
  <si>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</si>
  <si>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</si>
  <si>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</si>
  <si>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</si>
  <si>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</si>
  <si>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</si>
  <si>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</si>
  <si>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</si>
  <si>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</si>
  <si>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</si>
  <si>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</si>
  <si>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</si>
  <si>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</si>
  <si>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</si>
  <si>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</si>
  <si>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</si>
  <si>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</si>
  <si>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</si>
  <si>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</si>
  <si>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</si>
  <si>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</si>
  <si>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</si>
  <si>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</si>
  <si>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</si>
  <si>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</si>
  <si>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</si>
  <si>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</si>
  <si>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</si>
  <si>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</si>
  <si>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</si>
  <si>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</si>
  <si>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</si>
  <si>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</si>
  <si>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</si>
  <si>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</si>
  <si>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</si>
  <si>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</si>
  <si>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</si>
  <si>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</si>
  <si>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</si>
  <si>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</si>
  <si>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</si>
  <si>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</si>
  <si>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</si>
  <si>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</si>
  <si>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</si>
  <si>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</si>
  <si>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</si>
  <si>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</si>
  <si>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</si>
  <si>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</si>
  <si>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</si>
  <si>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</si>
  <si>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</si>
  <si>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</si>
  <si>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</si>
  <si>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</si>
  <si>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</si>
  <si>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</si>
  <si>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</si>
  <si>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</si>
  <si>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</si>
  <si>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</si>
  <si>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</si>
  <si>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</si>
  <si>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</si>
  <si>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</si>
  <si>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</si>
  <si>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</si>
  <si>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</si>
  <si>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</si>
  <si>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</si>
  <si>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</si>
  <si>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</si>
  <si>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</si>
  <si>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</si>
  <si>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</si>
  <si>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</si>
  <si>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</si>
  <si>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</si>
  <si>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</si>
  <si>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</si>
  <si>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</si>
  <si>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</si>
  <si>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</si>
  <si>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</si>
  <si>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</si>
  <si>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</si>
  <si>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</si>
  <si>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</si>
  <si>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</si>
  <si>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</si>
  <si>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</si>
  <si>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</si>
  <si>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</si>
  <si>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</si>
  <si>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</si>
  <si>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</si>
  <si>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</si>
  <si>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</si>
  <si>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</si>
  <si>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</si>
  <si>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</si>
  <si>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</si>
  <si>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</si>
  <si>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</si>
  <si>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</si>
  <si>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</si>
  <si>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</si>
  <si>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</si>
  <si>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</si>
  <si>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</si>
  <si>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</si>
  <si>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</si>
  <si>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</si>
  <si>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</si>
  <si>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</si>
  <si>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</si>
  <si>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</si>
  <si>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</si>
  <si>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</si>
  <si>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</si>
  <si>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</si>
  <si>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</si>
  <si>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</si>
  <si>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</si>
  <si>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</si>
  <si>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</si>
  <si>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</si>
  <si>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</si>
  <si>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</si>
  <si>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</si>
  <si>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</si>
  <si>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</si>
  <si>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</si>
  <si>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</si>
  <si>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</si>
  <si>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</si>
  <si>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</si>
  <si>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</si>
  <si>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</si>
  <si>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</si>
  <si>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</si>
  <si>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</si>
  <si>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</si>
  <si>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</si>
  <si>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</si>
  <si>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</si>
  <si>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</si>
  <si>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</si>
  <si>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</si>
  <si>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</si>
  <si>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</si>
  <si>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</si>
  <si>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</si>
  <si>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</si>
  <si>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</si>
  <si>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</si>
  <si>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</si>
  <si>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</si>
  <si>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</si>
  <si>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</si>
  <si>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</si>
  <si>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</si>
  <si>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</si>
  <si>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</si>
  <si>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</si>
  <si>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</si>
  <si>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</si>
  <si>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</si>
  <si>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</si>
  <si>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</si>
  <si>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</si>
  <si>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</si>
  <si>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</si>
  <si>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</si>
  <si>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</si>
  <si>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</si>
  <si>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</si>
  <si>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</si>
  <si>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</si>
  <si>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</si>
  <si>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</si>
  <si>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</si>
  <si>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</si>
  <si>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</si>
  <si>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</si>
  <si>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</si>
  <si>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</si>
  <si>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</si>
  <si>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</si>
  <si>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</si>
  <si>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</si>
  <si>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</si>
  <si>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</si>
  <si>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</si>
  <si>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</si>
  <si>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</si>
  <si>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</si>
  <si>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</si>
  <si>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</si>
  <si>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</si>
  <si>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</si>
  <si>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</si>
  <si>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</si>
  <si>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</si>
  <si>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</si>
  <si>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</si>
  <si>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</si>
  <si>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</si>
  <si>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</si>
  <si>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</si>
  <si>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</si>
  <si>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</si>
  <si>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</si>
  <si>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</si>
  <si>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</si>
  <si>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</si>
  <si>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</si>
  <si>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</si>
  <si>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</si>
  <si>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</si>
  <si>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</si>
  <si>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</si>
  <si>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</si>
  <si>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</si>
  <si>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</si>
  <si>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</si>
  <si>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</si>
  <si>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</si>
  <si>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</si>
  <si>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</si>
  <si>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</si>
  <si>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</si>
  <si>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</si>
  <si>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</si>
  <si>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</si>
  <si>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</si>
  <si>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</si>
  <si>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</si>
  <si>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</si>
  <si>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</si>
  <si>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</si>
  <si>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</si>
  <si>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</si>
  <si>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</si>
  <si>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</si>
  <si>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</si>
  <si>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</si>
  <si>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</si>
  <si>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</si>
  <si>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</si>
  <si>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</si>
  <si>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</si>
  <si>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</si>
  <si>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</si>
  <si>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</si>
  <si>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</si>
  <si>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</si>
  <si>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</si>
  <si>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</si>
  <si>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</si>
  <si>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</si>
  <si>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</si>
  <si>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</si>
  <si>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</si>
  <si>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</si>
  <si>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</si>
  <si>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</si>
  <si>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</si>
  <si>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</si>
  <si>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</si>
  <si>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</si>
  <si>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</si>
  <si>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</si>
  <si>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</si>
  <si>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</si>
  <si>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</si>
  <si>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</si>
  <si>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</si>
  <si>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</si>
  <si>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</si>
  <si>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</si>
  <si>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</si>
  <si>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</si>
  <si>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</si>
  <si>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</si>
  <si>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</si>
  <si>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</si>
  <si>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</si>
  <si>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</si>
  <si>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</si>
  <si>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</si>
  <si>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</si>
  <si>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</si>
  <si>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</si>
  <si>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</si>
  <si>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</si>
  <si>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</si>
  <si>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</si>
  <si>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</si>
  <si>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</si>
  <si>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</si>
  <si>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</si>
  <si>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</si>
  <si>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</si>
  <si>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</si>
  <si>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</si>
  <si>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</si>
  <si>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</si>
  <si>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</si>
  <si>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</si>
  <si>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</si>
  <si>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</si>
  <si>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</si>
  <si>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</si>
  <si>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</si>
  <si>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</si>
  <si>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</si>
  <si>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</si>
  <si>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</si>
  <si>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</si>
  <si>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</si>
  <si>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</si>
  <si>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</si>
  <si>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</si>
  <si>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</si>
  <si>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</si>
  <si>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</si>
  <si>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</si>
  <si>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</si>
  <si>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</si>
  <si>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</si>
  <si>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</si>
  <si>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</si>
  <si>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</si>
  <si>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</si>
  <si>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</si>
  <si>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</si>
  <si>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</si>
  <si>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</si>
  <si>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</si>
  <si>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</si>
  <si>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</si>
  <si>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</si>
  <si>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</si>
  <si>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</si>
  <si>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</si>
  <si>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</si>
  <si>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</si>
  <si>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</si>
  <si>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</si>
  <si>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</si>
  <si>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</si>
  <si>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</si>
  <si>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</si>
  <si>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</si>
  <si>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</si>
  <si>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</si>
  <si>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</si>
  <si>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</si>
  <si>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</si>
  <si>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</si>
  <si>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</si>
  <si>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</si>
  <si>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</si>
  <si>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</si>
  <si>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</si>
  <si>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</si>
  <si>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</si>
  <si>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</si>
  <si>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</si>
  <si>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</si>
  <si>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</si>
  <si>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</si>
  <si>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</si>
  <si>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</si>
  <si>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</si>
  <si>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</si>
  <si>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</si>
  <si>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</si>
  <si>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</si>
  <si>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</si>
  <si>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</si>
  <si>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</si>
  <si>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</si>
  <si>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</si>
  <si>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</si>
  <si>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</si>
  <si>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</si>
  <si>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</si>
  <si>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</si>
  <si>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</si>
  <si>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</si>
  <si>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</si>
  <si>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</si>
  <si>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</si>
  <si>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</si>
  <si>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</si>
  <si>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</si>
  <si>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</si>
  <si>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</si>
  <si>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</si>
  <si>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</si>
  <si>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</si>
  <si>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</si>
  <si>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</si>
  <si>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</si>
  <si>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</si>
  <si>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</si>
  <si>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</si>
  <si>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</si>
  <si>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</si>
  <si>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</si>
  <si>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</si>
  <si>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</si>
  <si>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</si>
  <si>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</si>
  <si>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</si>
  <si>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</si>
  <si>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</si>
  <si>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</si>
  <si>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</si>
  <si>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</si>
  <si>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</si>
  <si>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</si>
  <si>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</si>
  <si>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</si>
  <si>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</si>
  <si>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</si>
  <si>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</si>
  <si>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</si>
  <si>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</si>
  <si>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</si>
  <si>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</si>
  <si>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</si>
  <si>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</si>
  <si>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</si>
  <si>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</si>
  <si>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</si>
  <si>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</si>
  <si>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</si>
  <si>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</si>
  <si>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</si>
  <si>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</si>
  <si>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</si>
  <si>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</si>
  <si>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</si>
  <si>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</si>
  <si>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</si>
  <si>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</si>
  <si>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</si>
  <si>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</si>
  <si>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</si>
  <si>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</si>
  <si>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</si>
  <si>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</si>
  <si>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</si>
  <si>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</si>
  <si>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</si>
  <si>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</si>
  <si>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</si>
  <si>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</si>
  <si>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</si>
  <si>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</si>
  <si>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</si>
  <si>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</si>
  <si>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</si>
  <si>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</si>
  <si>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</si>
  <si>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</si>
  <si>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</si>
  <si>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</si>
  <si>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</si>
  <si>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</si>
  <si>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</si>
  <si>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</si>
  <si>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</si>
  <si>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</si>
  <si>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</si>
  <si>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</si>
  <si>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</si>
  <si>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</si>
  <si>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</si>
  <si>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</si>
  <si>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</si>
  <si>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</si>
  <si>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</si>
  <si>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</si>
  <si>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</si>
  <si>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</si>
  <si>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</si>
  <si>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</si>
  <si>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</si>
  <si>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</si>
  <si>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</si>
  <si>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</si>
  <si>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</si>
  <si>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</si>
  <si>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</si>
  <si>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</si>
  <si>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</si>
  <si>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</si>
  <si>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</si>
  <si>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</si>
  <si>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</si>
  <si>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</si>
  <si>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</si>
  <si>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</si>
  <si>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</si>
  <si>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</si>
  <si>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</si>
  <si>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</si>
  <si>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</si>
  <si>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</si>
  <si>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</si>
  <si>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</si>
  <si>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</si>
  <si>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</si>
  <si>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</si>
  <si>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</si>
  <si>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</si>
  <si>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</si>
  <si>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</si>
  <si>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</si>
  <si>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</si>
  <si>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</si>
  <si>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</si>
  <si>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</si>
  <si>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</si>
  <si>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</si>
  <si>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</si>
  <si>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</si>
  <si>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</si>
  <si>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</si>
  <si>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</si>
  <si>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</si>
  <si>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</si>
  <si>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</si>
  <si>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</si>
  <si>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</si>
  <si>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</si>
  <si>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</si>
  <si>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</si>
  <si>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</si>
  <si>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</si>
  <si>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</si>
  <si>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</si>
  <si>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</si>
  <si>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</si>
  <si>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</si>
  <si>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</si>
  <si>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</si>
  <si>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</si>
  <si>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</si>
  <si>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</si>
  <si>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</si>
  <si>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</si>
  <si>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</si>
  <si>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</si>
  <si>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</si>
  <si>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</si>
  <si>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</si>
  <si>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</si>
  <si>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</si>
  <si>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</si>
  <si>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</si>
  <si>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</si>
  <si>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</si>
  <si>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</si>
  <si>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</si>
  <si>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</si>
  <si>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</si>
  <si>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</si>
  <si>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</si>
  <si>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</si>
  <si>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</si>
  <si>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</si>
  <si>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</si>
  <si>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</si>
  <si>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</si>
  <si>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</si>
  <si>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</si>
  <si>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</si>
  <si>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</si>
  <si>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</si>
  <si>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</si>
  <si>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</si>
  <si>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</si>
  <si>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</si>
  <si>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</si>
  <si>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</si>
  <si>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</si>
  <si>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</si>
  <si>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</si>
  <si>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</si>
  <si>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</si>
  <si>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</si>
  <si>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</si>
  <si>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</si>
  <si>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</si>
  <si>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</si>
  <si>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</si>
  <si>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</si>
  <si>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</si>
  <si>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</si>
  <si>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</si>
  <si>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</si>
  <si>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</si>
  <si>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</si>
  <si>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</si>
  <si>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</si>
  <si>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</si>
  <si>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</si>
  <si>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</si>
  <si>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</si>
  <si>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</si>
  <si>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</si>
  <si>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</si>
  <si>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</si>
  <si>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</si>
  <si>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</si>
  <si>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</si>
  <si>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</si>
  <si>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</si>
  <si>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</si>
  <si>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</si>
  <si>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</si>
  <si>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</si>
  <si>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</si>
  <si>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</si>
  <si>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</si>
  <si>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</si>
  <si>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</si>
  <si>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</si>
  <si>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</si>
  <si>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</si>
  <si>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</si>
  <si>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</si>
  <si>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</si>
  <si>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</si>
  <si>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</si>
  <si>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</si>
  <si>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</si>
  <si>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</si>
  <si>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</si>
  <si>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</si>
  <si>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</si>
  <si>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</si>
  <si>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</si>
  <si>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</si>
  <si>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</si>
  <si>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</si>
  <si>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</si>
  <si>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</si>
  <si>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</si>
  <si>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</si>
  <si>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</si>
  <si>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</si>
  <si>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</si>
  <si>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</si>
  <si>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</si>
  <si>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</si>
  <si>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</si>
  <si>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</si>
  <si>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</si>
  <si>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</si>
  <si>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</si>
  <si>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</si>
  <si>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</si>
  <si>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</si>
  <si>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</si>
  <si>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</si>
  <si>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</si>
  <si>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</si>
  <si>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</si>
  <si>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</si>
  <si>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</si>
  <si>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</si>
  <si>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</si>
  <si>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</si>
  <si>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</si>
  <si>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</si>
  <si>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</si>
  <si>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</si>
  <si>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</si>
  <si>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</si>
  <si>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</si>
  <si>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</si>
  <si>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</si>
  <si>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</si>
  <si>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</si>
  <si>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</si>
  <si>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</si>
  <si>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</si>
  <si>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</si>
  <si>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</si>
  <si>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</si>
  <si>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</si>
  <si>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</si>
  <si>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</si>
  <si>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</si>
  <si>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</si>
  <si>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</si>
  <si>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</si>
  <si>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</si>
  <si>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</si>
  <si>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</si>
  <si>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</si>
  <si>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</si>
  <si>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</si>
  <si>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</si>
  <si>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</si>
  <si>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</si>
  <si>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</si>
  <si>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</si>
  <si>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</si>
  <si>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</si>
  <si>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</si>
  <si>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</si>
  <si>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</si>
  <si>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</si>
  <si>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</si>
  <si>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</si>
  <si>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</si>
  <si>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</si>
  <si>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</si>
  <si>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</si>
  <si>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</si>
  <si>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</si>
  <si>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</si>
  <si>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</si>
  <si>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</si>
  <si>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</si>
  <si>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</si>
  <si>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</si>
  <si>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</si>
  <si>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</si>
  <si>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</si>
  <si>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</si>
  <si>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</si>
  <si>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</si>
  <si>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</si>
  <si>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</si>
  <si>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</si>
  <si>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</si>
  <si>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</si>
  <si>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</si>
  <si>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</si>
  <si>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</si>
  <si>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</si>
  <si>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</si>
  <si>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</si>
  <si>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</si>
  <si>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</si>
  <si>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</si>
  <si>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</si>
  <si>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</si>
  <si>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</si>
  <si>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</si>
  <si>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</si>
  <si>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</si>
  <si>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</si>
  <si>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</si>
  <si>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</si>
  <si>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</si>
  <si>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</si>
  <si>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</si>
  <si>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</si>
  <si>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</si>
  <si>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</si>
  <si>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</si>
  <si>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</si>
  <si>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</si>
  <si>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</si>
  <si>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</si>
  <si>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</si>
  <si>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</si>
  <si>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</si>
  <si>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</si>
  <si>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</si>
  <si>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</si>
  <si>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</si>
  <si>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</si>
  <si>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</si>
  <si>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</si>
  <si>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</si>
  <si>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</si>
  <si>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</si>
  <si>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</si>
  <si>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</si>
  <si>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</si>
  <si>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</si>
  <si>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</si>
  <si>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</si>
  <si>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</si>
  <si>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</si>
  <si>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</si>
  <si>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</si>
  <si>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</si>
  <si>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</si>
  <si>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</si>
  <si>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</si>
  <si>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</si>
  <si>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</si>
  <si>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</si>
  <si>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</si>
  <si>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</si>
  <si>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</si>
  <si>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</si>
  <si>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</si>
  <si>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</si>
  <si>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</si>
  <si>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</si>
  <si>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</si>
  <si>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</si>
  <si>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</si>
  <si>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</si>
  <si>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</si>
  <si>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</si>
  <si>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</si>
  <si>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</si>
  <si>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</si>
  <si>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</si>
  <si>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</si>
  <si>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</si>
  <si>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</si>
  <si>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</si>
  <si>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</si>
  <si>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</si>
  <si>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</si>
  <si>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</si>
  <si>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</si>
  <si>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</si>
  <si>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</si>
  <si>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</si>
  <si>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</si>
  <si>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</si>
  <si>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</si>
  <si>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</si>
  <si>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</si>
  <si>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</si>
  <si>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</si>
  <si>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</si>
  <si>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</si>
  <si>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</si>
  <si>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</si>
  <si>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</si>
  <si>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</si>
  <si>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</si>
  <si>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</si>
  <si>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</si>
  <si>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</si>
  <si>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</si>
  <si>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</si>
  <si>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</si>
  <si>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</si>
  <si>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</si>
  <si>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</si>
  <si>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</si>
  <si>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</si>
  <si>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</si>
  <si>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</si>
  <si>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</si>
  <si>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</si>
  <si>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</si>
  <si>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</si>
  <si>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</si>
  <si>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</si>
  <si>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</si>
  <si>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</si>
  <si>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</si>
  <si>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</si>
  <si>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</si>
  <si>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</si>
  <si>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</si>
  <si>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</si>
  <si>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</si>
  <si>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</si>
  <si>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</si>
  <si>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</si>
  <si>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</si>
  <si>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</si>
  <si>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</si>
  <si>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</si>
  <si>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</si>
  <si>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</si>
  <si>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</si>
  <si>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</si>
  <si>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</si>
  <si>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</si>
  <si>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</si>
  <si>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</si>
  <si>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</si>
  <si>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</si>
  <si>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</si>
  <si>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</si>
  <si>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</si>
  <si>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</si>
  <si>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</si>
  <si>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</si>
  <si>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</si>
  <si>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</si>
  <si>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</si>
  <si>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</si>
  <si>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</si>
  <si>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</si>
  <si>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</si>
  <si>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</si>
  <si>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</si>
  <si>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</si>
  <si>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</si>
  <si>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</si>
  <si>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</si>
  <si>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</si>
  <si>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</si>
  <si>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</si>
  <si>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</si>
  <si>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</si>
  <si>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</si>
  <si>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</si>
  <si>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</si>
  <si>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</si>
  <si>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</si>
  <si>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</si>
  <si>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</si>
  <si>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</si>
  <si>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</si>
  <si>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</si>
  <si>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</si>
  <si>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</si>
  <si>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</si>
  <si>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</si>
  <si>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</si>
  <si>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</si>
  <si>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</si>
  <si>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</si>
  <si>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</si>
  <si>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</si>
  <si>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</si>
  <si>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</si>
  <si>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</si>
  <si>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</si>
  <si>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</si>
  <si>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</si>
  <si>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</si>
  <si>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</si>
  <si>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</si>
  <si>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</si>
  <si>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</si>
  <si>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</si>
  <si>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</si>
  <si>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</si>
  <si>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</si>
  <si>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</si>
  <si>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</si>
  <si>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</si>
  <si>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</si>
  <si>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</si>
  <si>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</si>
  <si>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</si>
  <si>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</si>
  <si>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</si>
  <si>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</si>
  <si>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</si>
  <si>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</si>
  <si>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</si>
  <si>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</si>
  <si>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</si>
  <si>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</si>
  <si>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</si>
  <si>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</si>
  <si>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</si>
  <si>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</si>
  <si>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</si>
  <si>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</si>
  <si>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</si>
  <si>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</si>
  <si>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</si>
  <si>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</si>
  <si>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</si>
  <si>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</si>
  <si>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</si>
  <si>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</si>
  <si>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</si>
  <si>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</si>
  <si>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</si>
  <si>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</si>
  <si>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</si>
  <si>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</si>
  <si>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</si>
  <si>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</si>
  <si>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</si>
  <si>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</si>
  <si>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</si>
  <si>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</si>
  <si>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</si>
  <si>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</si>
  <si>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</si>
  <si>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</si>
  <si>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</si>
  <si>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</si>
  <si>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</si>
  <si>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</si>
  <si>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</si>
  <si>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</si>
  <si>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</si>
  <si>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</si>
  <si>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</si>
  <si>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</si>
  <si>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</si>
  <si>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</si>
  <si>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</si>
  <si>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</si>
  <si>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</si>
  <si>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</si>
  <si>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</si>
  <si>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</si>
  <si>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</si>
  <si>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</si>
  <si>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</si>
  <si>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</si>
  <si>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</si>
  <si>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</si>
  <si>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</si>
  <si>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</si>
  <si>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</si>
  <si>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</si>
  <si>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</si>
  <si>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</si>
  <si>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</si>
  <si>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</si>
  <si>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</si>
  <si>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</si>
  <si>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</si>
  <si>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</si>
  <si>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</si>
  <si>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</si>
  <si>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</si>
  <si>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</si>
  <si>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</si>
  <si>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</si>
  <si>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</si>
  <si>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</si>
  <si>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</si>
  <si>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</si>
  <si>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</si>
  <si>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</si>
  <si>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</si>
  <si>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</si>
  <si>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</si>
  <si>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</si>
  <si>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</si>
  <si>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</si>
  <si>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</si>
  <si>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</si>
  <si>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</si>
  <si>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</si>
  <si>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</si>
  <si>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</si>
  <si>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</si>
  <si>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</si>
  <si>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</si>
  <si>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</si>
  <si>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</si>
  <si>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</si>
  <si>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</si>
  <si>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</si>
  <si>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</si>
  <si>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</si>
  <si>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</si>
  <si>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</si>
  <si>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</si>
  <si>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</si>
  <si>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</si>
  <si>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</si>
  <si>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</si>
  <si>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</si>
  <si>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</si>
  <si>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</si>
  <si>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</si>
  <si>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</si>
  <si>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</si>
  <si>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</si>
  <si>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</si>
  <si>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</si>
  <si>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</si>
  <si>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</si>
  <si>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</si>
  <si>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</si>
  <si>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</si>
  <si>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</si>
  <si>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</si>
  <si>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</si>
  <si>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</si>
  <si>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</si>
  <si>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</si>
  <si>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</si>
  <si>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</si>
  <si>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</si>
  <si>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</si>
  <si>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</si>
  <si>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</si>
  <si>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</si>
  <si>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</si>
  <si>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</si>
  <si>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</si>
  <si>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</si>
  <si>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</si>
  <si>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</si>
  <si>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</si>
  <si>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</si>
  <si>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</si>
  <si>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</si>
  <si>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</si>
  <si>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</si>
  <si>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</si>
  <si>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</si>
  <si>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</si>
  <si>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</si>
  <si>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</si>
  <si>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</si>
  <si>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</si>
  <si>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</si>
  <si>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</si>
  <si>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</si>
  <si>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</si>
  <si>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</si>
  <si>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</si>
  <si>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</si>
  <si>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</si>
  <si>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</si>
  <si>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</si>
  <si>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</si>
  <si>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</si>
  <si>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</si>
  <si>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</si>
  <si>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</si>
  <si>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</si>
  <si>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</si>
  <si>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</si>
  <si>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</si>
  <si>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</si>
  <si>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</si>
  <si>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</si>
  <si>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</si>
  <si>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</si>
  <si>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</si>
  <si>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</si>
  <si>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</si>
  <si>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</si>
  <si>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</si>
  <si>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</si>
  <si>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</si>
  <si>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</si>
  <si>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</si>
  <si>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</si>
  <si>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</si>
  <si>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</si>
  <si>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</si>
  <si>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</si>
  <si>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</si>
  <si>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</si>
  <si>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</si>
  <si>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</si>
  <si>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</si>
  <si>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</si>
  <si>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</si>
  <si>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</si>
  <si>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</si>
  <si>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</si>
  <si>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</si>
  <si>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</si>
  <si>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</si>
  <si>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</si>
  <si>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</si>
  <si>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</si>
  <si>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</si>
  <si>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</si>
  <si>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</si>
  <si>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</si>
  <si>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</si>
  <si>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</si>
  <si>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</si>
  <si>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</si>
  <si>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</si>
  <si>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</si>
  <si>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</si>
  <si>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</si>
  <si>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</si>
  <si>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</si>
  <si>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</si>
  <si>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</si>
  <si>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</si>
  <si>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</si>
  <si>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</si>
  <si>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</si>
  <si>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</si>
  <si>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</si>
  <si>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</si>
  <si>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</si>
  <si>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</si>
  <si>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</si>
  <si>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</si>
  <si>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</si>
  <si>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</si>
  <si>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</si>
  <si>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</si>
  <si>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</si>
  <si>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</si>
  <si>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</si>
  <si>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</si>
  <si>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</si>
  <si>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</si>
  <si>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</si>
  <si>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</si>
  <si>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</si>
  <si>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</si>
  <si>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</si>
  <si>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</si>
  <si>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</si>
  <si>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</si>
  <si>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</si>
  <si>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</si>
  <si>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</si>
  <si>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</si>
  <si>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</si>
  <si>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</si>
  <si>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</si>
  <si>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</si>
  <si>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</si>
  <si>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</si>
  <si>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</si>
  <si>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</si>
  <si>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</si>
  <si>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</si>
  <si>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</si>
  <si>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</si>
  <si>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</si>
  <si>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</si>
  <si>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</si>
  <si>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</si>
  <si>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</si>
  <si>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</si>
  <si>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</si>
  <si>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</si>
  <si>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</si>
  <si>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</si>
  <si>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</si>
  <si>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</si>
  <si>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</si>
  <si>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</si>
  <si>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</si>
  <si>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</si>
  <si>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</si>
  <si>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</si>
  <si>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</si>
  <si>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</si>
  <si>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</si>
  <si>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</si>
  <si>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</si>
  <si>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</si>
  <si>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</si>
  <si>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</si>
  <si>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</si>
  <si>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</si>
  <si>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</si>
  <si>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</si>
  <si>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</si>
  <si>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</si>
  <si>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</si>
  <si>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</si>
  <si>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</si>
  <si>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</si>
  <si>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</si>
  <si>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</si>
  <si>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</si>
  <si>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</si>
  <si>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</si>
  <si>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</si>
  <si>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</si>
  <si>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</si>
  <si>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</si>
  <si>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</si>
  <si>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</si>
  <si>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</si>
  <si>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</si>
  <si>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</si>
  <si>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</si>
  <si>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</si>
  <si>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</si>
  <si>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</si>
  <si>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</si>
  <si>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</si>
  <si>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</si>
  <si>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</si>
  <si>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</si>
  <si>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</si>
  <si>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</si>
  <si>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</si>
  <si>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</si>
  <si>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</si>
  <si>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</si>
  <si>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</si>
  <si>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</si>
  <si>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</si>
  <si>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</si>
  <si>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</si>
  <si>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</si>
  <si>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</si>
  <si>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</si>
  <si>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</si>
  <si>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</si>
  <si>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</si>
  <si>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</si>
  <si>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</si>
  <si>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</si>
  <si>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</si>
  <si>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</si>
  <si>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</si>
  <si>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</si>
  <si>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</si>
  <si>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</si>
  <si>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</si>
  <si>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</si>
  <si>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</si>
  <si>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</si>
  <si>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</si>
  <si>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</si>
  <si>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</si>
  <si>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</si>
  <si>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</si>
  <si>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</si>
  <si>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</si>
  <si>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</si>
  <si>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</si>
  <si>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</si>
  <si>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</si>
  <si>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</si>
  <si>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</si>
  <si>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</si>
  <si>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</si>
  <si>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</si>
  <si>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</si>
  <si>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</si>
  <si>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</si>
  <si>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</si>
  <si>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</si>
  <si>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</si>
  <si>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</si>
  <si>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</si>
  <si>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</si>
  <si>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</si>
  <si>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</si>
  <si>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</si>
  <si>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</si>
  <si>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</si>
  <si>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</si>
  <si>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</si>
  <si>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</si>
  <si>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</si>
  <si>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</si>
  <si>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</si>
  <si>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</si>
  <si>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</si>
  <si>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</si>
  <si>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</si>
  <si>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</si>
  <si>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</si>
  <si>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</si>
  <si>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</si>
  <si>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</si>
  <si>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</si>
  <si>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</si>
  <si>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</si>
  <si>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</si>
  <si>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</si>
  <si>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</si>
  <si>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</si>
  <si>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</si>
  <si>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</si>
  <si>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</si>
  <si>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</si>
  <si>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</si>
  <si>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</si>
  <si>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</si>
  <si>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</si>
  <si>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</si>
  <si>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</si>
  <si>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</si>
  <si>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</si>
  <si>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</si>
  <si>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</si>
  <si>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</si>
  <si>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</si>
  <si>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</si>
  <si>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</si>
  <si>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</si>
  <si>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</si>
  <si>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</si>
  <si>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</si>
  <si>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</si>
  <si>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</si>
  <si>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</si>
  <si>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</si>
  <si>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</si>
  <si>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</si>
  <si>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</si>
  <si>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</si>
  <si>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</si>
  <si>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</si>
  <si>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</si>
  <si>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</si>
  <si>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</si>
  <si>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</si>
  <si>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</si>
  <si>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</si>
  <si>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</si>
  <si>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</si>
  <si>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</si>
  <si>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</si>
  <si>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</si>
  <si>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</si>
  <si>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</si>
  <si>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</si>
  <si>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</si>
  <si>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</si>
  <si>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</si>
  <si>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</si>
  <si>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</si>
  <si>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</si>
  <si>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</si>
  <si>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</si>
  <si>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</si>
  <si>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</si>
  <si>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</si>
  <si>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</si>
  <si>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</si>
  <si>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</si>
  <si>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</si>
  <si>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</si>
  <si>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</si>
  <si>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</si>
  <si>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</si>
  <si>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</si>
  <si>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</si>
  <si>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</si>
  <si>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</si>
  <si>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</si>
  <si>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</si>
  <si>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</si>
  <si>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</si>
  <si>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</si>
  <si>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</si>
  <si>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</si>
  <si>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</si>
  <si>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</si>
  <si>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</si>
  <si>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</si>
  <si>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</si>
  <si>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</si>
  <si>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</si>
  <si>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</si>
  <si>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</si>
  <si>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</si>
  <si>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</si>
  <si>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</si>
  <si>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</si>
  <si>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</si>
  <si>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</si>
  <si>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</si>
  <si>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</si>
  <si>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</si>
  <si>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</si>
  <si>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</si>
  <si>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</si>
  <si>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</si>
  <si>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</si>
  <si>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</si>
  <si>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</si>
  <si>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</si>
  <si>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</si>
  <si>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</si>
  <si>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</si>
  <si>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</si>
  <si>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</si>
  <si>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</si>
  <si>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</si>
  <si>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</si>
  <si>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</si>
  <si>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</si>
  <si>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</si>
  <si>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</si>
  <si>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</si>
  <si>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</si>
  <si>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</si>
  <si>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</si>
  <si>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</si>
  <si>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</si>
  <si>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</si>
  <si>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</si>
  <si>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</si>
  <si>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</si>
  <si>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</si>
  <si>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</si>
  <si>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</si>
  <si>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</si>
  <si>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</si>
  <si>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</si>
  <si>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</si>
  <si>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</si>
  <si>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</si>
  <si>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</si>
  <si>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</si>
  <si>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</si>
  <si>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</si>
  <si>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</si>
  <si>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</si>
  <si>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</si>
  <si>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</si>
  <si>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</si>
  <si>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</si>
  <si>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</si>
  <si>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</si>
  <si>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</si>
  <si>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</si>
  <si>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</si>
  <si>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</si>
  <si>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</si>
  <si>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</si>
  <si>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</si>
  <si>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</si>
  <si>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</si>
  <si>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</si>
  <si>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</si>
  <si>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</si>
  <si>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</si>
  <si>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</si>
  <si>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</si>
  <si>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</si>
  <si>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</si>
  <si>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</si>
  <si>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</si>
  <si>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</si>
  <si>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</si>
  <si>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</si>
  <si>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</si>
  <si>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</si>
  <si>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</si>
  <si>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</si>
  <si>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</si>
  <si>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</si>
  <si>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</si>
  <si>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</si>
  <si>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</si>
  <si>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</si>
  <si>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</si>
  <si>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</si>
  <si>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</si>
  <si>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</si>
  <si>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</si>
  <si>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</si>
  <si>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</si>
  <si>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</si>
  <si>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</si>
  <si>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</si>
  <si>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</si>
  <si>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</si>
  <si>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</si>
  <si>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</si>
  <si>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</si>
  <si>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</si>
  <si>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</si>
  <si>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</si>
  <si>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</si>
  <si>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</si>
  <si>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</si>
  <si>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</si>
  <si>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</si>
  <si>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</si>
  <si>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</si>
  <si>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</si>
  <si>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</si>
  <si>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</si>
  <si>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</si>
  <si>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</si>
  <si>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</si>
  <si>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</si>
  <si>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</si>
  <si>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</si>
  <si>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</si>
  <si>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</si>
  <si>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</si>
  <si>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</si>
  <si>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</si>
  <si>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</si>
  <si>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</si>
  <si>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</si>
  <si>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</si>
  <si>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</si>
  <si>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</si>
  <si>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</si>
  <si>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</si>
  <si>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</si>
  <si>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</si>
  <si>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</si>
  <si>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</si>
  <si>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</si>
  <si>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</si>
  <si>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</si>
  <si>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</si>
  <si>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</si>
  <si>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</si>
  <si>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</si>
  <si>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</si>
  <si>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</si>
  <si>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</si>
  <si>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</si>
  <si>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</si>
  <si>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</si>
  <si>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</si>
  <si>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</si>
  <si>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</si>
  <si>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</si>
  <si>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</si>
  <si>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</si>
  <si>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</si>
  <si>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</si>
  <si>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</si>
  <si>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</si>
  <si>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</si>
  <si>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</si>
  <si>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</si>
  <si>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</si>
  <si>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</si>
  <si>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</si>
  <si>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</si>
  <si>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</si>
  <si>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</si>
  <si>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</si>
  <si>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</si>
  <si>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</si>
  <si>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</si>
  <si>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</si>
  <si>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</si>
  <si>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</si>
  <si>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</si>
  <si>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</si>
  <si>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</si>
  <si>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</si>
  <si>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</si>
  <si>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</si>
  <si>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</si>
  <si>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</si>
  <si>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</si>
  <si>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</si>
  <si>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</si>
  <si>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</si>
  <si>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</si>
  <si>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</si>
  <si>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</si>
  <si>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</si>
  <si>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</si>
  <si>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</si>
  <si>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</si>
  <si>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</si>
  <si>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</si>
  <si>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</si>
  <si>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</si>
  <si>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</si>
  <si>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</si>
  <si>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</si>
  <si>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</si>
  <si>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</si>
  <si>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</si>
  <si>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</si>
  <si>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</si>
  <si>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</si>
  <si>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</si>
  <si>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</si>
  <si>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</si>
  <si>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</si>
  <si>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</si>
  <si>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</si>
  <si>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</si>
  <si>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</si>
  <si>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</si>
  <si>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</si>
  <si>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</si>
  <si>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</si>
  <si>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</si>
  <si>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</si>
  <si>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</si>
  <si>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</si>
  <si>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</si>
  <si>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</si>
  <si>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</si>
  <si>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</si>
  <si>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</si>
  <si>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</si>
  <si>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</si>
  <si>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</si>
  <si>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</si>
  <si>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</si>
  <si>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</si>
  <si>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</si>
  <si>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</si>
  <si>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</si>
  <si>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</si>
  <si>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</si>
  <si>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</si>
  <si>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</si>
  <si>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</si>
  <si>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</si>
  <si>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</si>
  <si>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</si>
  <si>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</si>
  <si>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</si>
  <si>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</si>
  <si>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</si>
  <si>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</si>
  <si>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</si>
  <si>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</si>
  <si>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</si>
  <si>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</si>
  <si>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</si>
  <si>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</si>
  <si>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</si>
  <si>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</si>
  <si>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</si>
  <si>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</si>
  <si>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</si>
  <si>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</si>
  <si>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</si>
  <si>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</si>
  <si>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</si>
  <si>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</si>
  <si>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</si>
  <si>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</si>
  <si>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</si>
  <si>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</si>
  <si>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</si>
  <si>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</si>
  <si>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</si>
  <si>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</si>
  <si>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</si>
  <si>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</si>
  <si>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</si>
  <si>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</si>
  <si>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</si>
  <si>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</si>
  <si>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</si>
  <si>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</si>
  <si>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</si>
  <si>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</si>
  <si>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</si>
  <si>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</si>
  <si>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</si>
  <si>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</si>
  <si>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</si>
  <si>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</si>
  <si>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</si>
  <si>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</si>
  <si>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</si>
  <si>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</si>
  <si>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</si>
  <si>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</si>
  <si>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</si>
  <si>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</si>
  <si>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</si>
  <si>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</si>
  <si>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</si>
  <si>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</si>
  <si>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</si>
  <si>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</si>
  <si>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</si>
  <si>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</si>
  <si>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</si>
  <si>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</si>
  <si>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</si>
  <si>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</si>
  <si>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</si>
  <si>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</si>
  <si>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</si>
  <si>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</si>
  <si>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</si>
  <si>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</si>
  <si>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</si>
  <si>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</si>
  <si>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</si>
  <si>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</si>
  <si>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</si>
  <si>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</si>
  <si>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</si>
  <si>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</si>
  <si>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</si>
  <si>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</si>
  <si>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</si>
  <si>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</si>
  <si>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</si>
  <si>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</si>
  <si>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</si>
  <si>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</si>
  <si>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</si>
  <si>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</si>
  <si>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</si>
  <si>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</si>
  <si>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</si>
  <si>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</si>
  <si>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</si>
  <si>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</si>
  <si>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</si>
  <si>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</si>
  <si>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</si>
  <si>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</si>
  <si>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</si>
  <si>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</si>
  <si>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</si>
  <si>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</si>
  <si>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</si>
  <si>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</si>
  <si>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</si>
  <si>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</si>
  <si>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</si>
  <si>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</si>
  <si>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</si>
  <si>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</si>
  <si>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</si>
  <si>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</si>
  <si>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</si>
  <si>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</si>
  <si>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</si>
  <si>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</si>
  <si>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</si>
  <si>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</si>
  <si>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</si>
  <si>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</si>
  <si>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</si>
  <si>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</si>
  <si>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</si>
  <si>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</si>
  <si>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</si>
  <si>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</si>
  <si>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</si>
  <si>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</si>
  <si>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</si>
  <si>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</si>
  <si>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</si>
  <si>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</si>
  <si>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</si>
  <si>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</si>
  <si>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</si>
  <si>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</si>
  <si>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</si>
  <si>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</si>
  <si>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</si>
  <si>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</si>
  <si>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</si>
  <si>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</si>
  <si>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</si>
  <si>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</si>
  <si>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</si>
  <si>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</si>
  <si>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</si>
  <si>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</si>
  <si>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</si>
  <si>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</si>
  <si>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</si>
  <si>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</si>
  <si>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</si>
  <si>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</si>
  <si>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</si>
  <si>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</si>
  <si>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</si>
  <si>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</si>
  <si>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</si>
  <si>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</si>
  <si>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</si>
  <si>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</si>
  <si>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</si>
  <si>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</si>
  <si>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</si>
  <si>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</si>
  <si>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</si>
  <si>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</si>
  <si>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</si>
  <si>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</si>
  <si>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</si>
  <si>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</si>
  <si>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</si>
  <si>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</si>
  <si>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</si>
  <si>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</si>
  <si>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</si>
  <si>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</si>
  <si>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</si>
  <si>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</si>
  <si>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</si>
  <si>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</si>
  <si>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</si>
  <si>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</si>
  <si>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</si>
  <si>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</si>
  <si>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</si>
  <si>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</si>
  <si>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</si>
  <si>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</si>
  <si>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</si>
  <si>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</si>
  <si>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</si>
  <si>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</si>
  <si>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</si>
  <si>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</si>
  <si>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</si>
  <si>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</si>
  <si>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</si>
  <si>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</si>
  <si>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</si>
  <si>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</si>
  <si>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</si>
  <si>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</si>
  <si>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</si>
  <si>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</si>
  <si>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</si>
  <si>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</si>
  <si>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</si>
  <si>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</si>
  <si>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</si>
  <si>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</si>
  <si>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</si>
  <si>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</si>
  <si>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</si>
  <si>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</si>
  <si>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</si>
  <si>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</si>
  <si>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</si>
  <si>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</si>
  <si>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</si>
  <si>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</si>
  <si>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</si>
  <si>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</si>
  <si>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</si>
  <si>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</si>
  <si>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</si>
  <si>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</si>
  <si>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</si>
  <si>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</si>
  <si>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</si>
  <si>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</si>
  <si>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</si>
  <si>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</si>
  <si>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</si>
  <si>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</si>
  <si>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</si>
  <si>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</si>
  <si>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</si>
  <si>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</si>
  <si>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</si>
  <si>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</si>
  <si>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</si>
  <si>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</si>
  <si>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</si>
  <si>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</si>
  <si>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</si>
  <si>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</si>
  <si>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</si>
  <si>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</si>
  <si>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</si>
  <si>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</si>
  <si>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</si>
  <si>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</si>
  <si>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</si>
  <si>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</si>
  <si>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</si>
  <si>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</si>
  <si>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</si>
  <si>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</si>
  <si>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</si>
  <si>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</si>
  <si>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</si>
  <si>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</si>
  <si>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</si>
  <si>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</si>
  <si>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</si>
  <si>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</si>
  <si>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</si>
  <si>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</si>
  <si>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</si>
  <si>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</si>
  <si>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</si>
  <si>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</si>
  <si>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</si>
  <si>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</si>
  <si>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</si>
  <si>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</si>
  <si>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</si>
  <si>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</si>
  <si>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</si>
  <si>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</si>
  <si>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</si>
  <si>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</si>
  <si>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</si>
  <si>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</si>
  <si>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</si>
  <si>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</si>
  <si>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</si>
  <si>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</si>
  <si>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</si>
  <si>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</si>
  <si>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</si>
  <si>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</si>
  <si>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</si>
  <si>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</si>
  <si>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</si>
  <si>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</si>
  <si>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</si>
  <si>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</si>
  <si>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</si>
  <si>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</si>
  <si>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</si>
  <si>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</si>
  <si>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</si>
  <si>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</si>
  <si>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</si>
  <si>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</si>
  <si>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</si>
  <si>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</si>
  <si>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</si>
  <si>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</si>
  <si>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</si>
  <si>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</si>
  <si>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</si>
  <si>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</si>
  <si>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</si>
  <si>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</si>
  <si>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</si>
  <si>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</si>
  <si>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</si>
  <si>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</si>
  <si>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</si>
  <si>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</si>
  <si>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</si>
  <si>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</si>
  <si>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</si>
  <si>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</si>
  <si>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</si>
  <si>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</si>
  <si>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</si>
  <si>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</si>
  <si>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</si>
  <si>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</si>
  <si>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</si>
  <si>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</si>
  <si>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</si>
  <si>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</si>
  <si>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</si>
  <si>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</si>
  <si>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</si>
  <si>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</si>
  <si>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</si>
  <si>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</si>
  <si>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</si>
  <si>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</si>
  <si>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</si>
  <si>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</si>
  <si>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</si>
  <si>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</si>
  <si>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</si>
  <si>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</si>
  <si>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</si>
  <si>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</si>
  <si>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</si>
  <si>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</si>
  <si>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</si>
  <si>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</si>
  <si>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</si>
  <si>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</si>
  <si>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</si>
  <si>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</si>
  <si>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</si>
  <si>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</si>
  <si>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</si>
  <si>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</si>
  <si>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</si>
  <si>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</si>
  <si>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</si>
  <si>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</si>
  <si>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</si>
  <si>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</si>
  <si>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</si>
  <si>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</si>
  <si>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</si>
  <si>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</si>
  <si>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</si>
  <si>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</si>
  <si>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</si>
  <si>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</si>
  <si>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</si>
  <si>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</si>
  <si>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</si>
  <si>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</si>
  <si>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</si>
  <si>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</si>
  <si>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</si>
  <si>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</si>
  <si>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</si>
  <si>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</si>
  <si>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</si>
  <si>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</si>
  <si>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</si>
  <si>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</si>
  <si>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</si>
  <si>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</si>
  <si>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</si>
  <si>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</si>
  <si>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</si>
  <si>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</si>
  <si>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</si>
  <si>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</si>
  <si>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</si>
  <si>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</si>
  <si>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</si>
  <si>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</si>
  <si>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</si>
  <si>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</si>
  <si>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</si>
  <si>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</si>
  <si>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</si>
  <si>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</si>
  <si>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</si>
  <si>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</si>
  <si>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</si>
  <si>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</si>
  <si>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</si>
  <si>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</si>
  <si>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</si>
  <si>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</si>
  <si>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</si>
  <si>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</si>
  <si>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</si>
  <si>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</si>
  <si>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</si>
  <si>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</si>
  <si>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</si>
  <si>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</si>
  <si>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</si>
  <si>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</si>
  <si>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</si>
  <si>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</si>
  <si>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</si>
  <si>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</si>
  <si>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</si>
  <si>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</si>
  <si>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</si>
  <si>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</si>
  <si>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</si>
  <si>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</si>
  <si>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</si>
  <si>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</si>
  <si>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</si>
  <si>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</si>
  <si>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</si>
  <si>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</si>
  <si>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</si>
  <si>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</si>
  <si>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</si>
  <si>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</si>
  <si>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</si>
  <si>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</si>
  <si>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</si>
  <si>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</si>
  <si>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</si>
  <si>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</si>
  <si>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</si>
  <si>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</si>
  <si>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</si>
  <si>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</si>
  <si>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</si>
  <si>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</si>
  <si>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</si>
  <si>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</si>
  <si>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</si>
  <si>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</si>
  <si>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</si>
  <si>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</si>
  <si>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</si>
  <si>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</si>
  <si>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</si>
  <si>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</si>
  <si>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</si>
  <si>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</si>
  <si>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</si>
  <si>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</si>
  <si>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</si>
  <si>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</si>
  <si>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</si>
  <si>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</si>
  <si>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</si>
  <si>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</si>
  <si>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</si>
  <si>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</si>
  <si>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</si>
  <si>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</si>
  <si>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</si>
  <si>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</si>
  <si>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</si>
  <si>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</si>
  <si>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</si>
  <si>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</si>
  <si>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</si>
  <si>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</si>
  <si>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</si>
  <si>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</si>
  <si>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</si>
  <si>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</si>
  <si>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</si>
  <si>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</si>
  <si>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</si>
  <si>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</si>
  <si>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</si>
  <si>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</si>
  <si>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</si>
  <si>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</si>
  <si>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</si>
  <si>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</si>
  <si>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</si>
  <si>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</si>
  <si>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</si>
  <si>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</si>
  <si>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</si>
  <si>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</si>
  <si>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</si>
  <si>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</si>
  <si>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</si>
  <si>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</si>
  <si>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</si>
  <si>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</si>
  <si>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</si>
  <si>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</si>
  <si>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</si>
  <si>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</si>
  <si>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</si>
  <si>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</si>
  <si>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</si>
  <si>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</si>
  <si>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</si>
  <si>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</si>
  <si>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</si>
  <si>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</si>
  <si>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</si>
  <si>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</si>
  <si>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</si>
  <si>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</si>
  <si>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</si>
  <si>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</si>
  <si>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</si>
  <si>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</si>
  <si>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</si>
  <si>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</si>
  <si>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</si>
  <si>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</si>
  <si>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</si>
  <si>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</si>
  <si>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</si>
  <si>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</si>
  <si>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</si>
  <si>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</si>
  <si>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</si>
  <si>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</si>
  <si>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</si>
  <si>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</si>
  <si>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</si>
  <si>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</si>
  <si>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</si>
  <si>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</si>
  <si>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</si>
  <si>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</si>
  <si>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</si>
  <si>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</si>
  <si>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</si>
  <si>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</si>
  <si>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</si>
  <si>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</si>
  <si>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</si>
  <si>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</si>
  <si>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</si>
  <si>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</si>
  <si>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</si>
  <si>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</si>
  <si>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</si>
  <si>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</si>
  <si>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</si>
  <si>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</si>
  <si>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</si>
  <si>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</si>
  <si>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</si>
  <si>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</si>
  <si>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</si>
  <si>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</si>
  <si>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</si>
  <si>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</si>
  <si>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</si>
  <si>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</si>
  <si>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</si>
  <si>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</si>
  <si>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</si>
  <si>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</si>
  <si>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</si>
  <si>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</si>
  <si>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</si>
  <si>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</si>
  <si>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</si>
  <si>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</si>
  <si>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</si>
  <si>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</si>
  <si>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</si>
  <si>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</si>
  <si>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</si>
  <si>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</si>
  <si>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</si>
  <si>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</si>
  <si>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</si>
  <si>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</si>
  <si>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</si>
  <si>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</si>
  <si>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</si>
  <si>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</si>
  <si>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</si>
  <si>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</si>
  <si>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</si>
  <si>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</si>
  <si>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</si>
  <si>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</si>
  <si>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</si>
  <si>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</si>
  <si>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</si>
  <si>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</si>
  <si>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</si>
  <si>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</si>
  <si>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</si>
  <si>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</si>
  <si>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</si>
  <si>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</si>
  <si>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</si>
  <si>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</si>
  <si>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</si>
  <si>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</si>
  <si>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</si>
  <si>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</si>
  <si>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</si>
  <si>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</si>
  <si>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</si>
  <si>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</si>
  <si>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</si>
  <si>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</si>
  <si>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</si>
  <si>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</si>
  <si>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</si>
  <si>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</si>
  <si>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</si>
  <si>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</si>
  <si>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</si>
  <si>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</si>
  <si>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</si>
  <si>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</si>
  <si>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</si>
  <si>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</si>
  <si>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</si>
  <si>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</si>
  <si>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</si>
  <si>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</si>
  <si>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</si>
  <si>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</si>
  <si>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</si>
  <si>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</si>
  <si>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</si>
  <si>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</si>
  <si>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</si>
  <si>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</si>
  <si>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</si>
  <si>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</si>
  <si>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</si>
  <si>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</si>
  <si>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</si>
  <si>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</si>
  <si>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</si>
  <si>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</si>
  <si>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</si>
  <si>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</si>
  <si>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</si>
  <si>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</si>
  <si>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</si>
  <si>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</si>
  <si>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</si>
  <si>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</si>
  <si>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</si>
  <si>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</si>
  <si>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</si>
  <si>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</si>
  <si>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</si>
  <si>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</si>
  <si>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</si>
  <si>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</si>
  <si>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</si>
  <si>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</si>
  <si>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</si>
  <si>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</si>
  <si>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</si>
  <si>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</si>
  <si>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</si>
  <si>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</si>
  <si>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</si>
  <si>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</si>
  <si>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</si>
  <si>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</si>
  <si>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</si>
  <si>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</si>
  <si>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</si>
  <si>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</si>
  <si>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</si>
  <si>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</si>
  <si>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</si>
  <si>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</si>
  <si>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</si>
  <si>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</si>
  <si>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</si>
  <si>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</si>
  <si>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</si>
  <si>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</si>
  <si>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</si>
  <si>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</si>
  <si>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</si>
  <si>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</si>
  <si>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</si>
  <si>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</si>
  <si>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</si>
  <si>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</si>
  <si>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</si>
  <si>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</si>
  <si>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</si>
  <si>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</si>
  <si>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</si>
  <si>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</si>
  <si>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</si>
  <si>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</si>
  <si>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</si>
  <si>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</si>
  <si>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</si>
  <si>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</si>
  <si>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</si>
  <si>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</si>
  <si>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</si>
  <si>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</si>
  <si>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</si>
  <si>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</si>
  <si>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</si>
  <si>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</si>
  <si>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</si>
  <si>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</si>
  <si>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</si>
  <si>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</si>
  <si>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</si>
  <si>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</si>
  <si>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</si>
  <si>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</si>
  <si>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</si>
  <si>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</si>
  <si>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</si>
  <si>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</si>
  <si>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</si>
  <si>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</si>
  <si>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</si>
  <si>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</si>
  <si>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</si>
  <si>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</si>
  <si>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</si>
  <si>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</si>
  <si>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</si>
  <si>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</si>
  <si>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</si>
  <si>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</si>
  <si>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</si>
  <si>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</si>
  <si>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</si>
  <si>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</si>
  <si>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</si>
  <si>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</si>
  <si>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</si>
  <si>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</si>
  <si>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</si>
  <si>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</si>
  <si>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</si>
  <si>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</si>
  <si>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</si>
  <si>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</si>
  <si>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</si>
  <si>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</si>
  <si>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</si>
  <si>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</si>
  <si>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</si>
  <si>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</si>
  <si>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</si>
  <si>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</si>
  <si>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</si>
  <si>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</si>
  <si>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</si>
  <si>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</si>
  <si>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</si>
  <si>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</si>
  <si>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</si>
  <si>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</si>
  <si>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</si>
  <si>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</si>
  <si>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</si>
  <si>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</si>
  <si>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</si>
  <si>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</si>
  <si>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</si>
  <si>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</si>
  <si>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</si>
  <si>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</si>
  <si>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</si>
  <si>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</si>
  <si>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</si>
  <si>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</si>
  <si>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</si>
  <si>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</si>
  <si>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</si>
  <si>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</si>
  <si>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</si>
  <si>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</si>
  <si>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</si>
  <si>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</si>
  <si>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</si>
  <si>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</si>
  <si>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</si>
  <si>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</si>
  <si>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</si>
  <si>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</si>
  <si>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</si>
  <si>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</si>
  <si>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</si>
  <si>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</si>
  <si>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</si>
  <si>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</si>
  <si>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</si>
  <si>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</si>
  <si>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</si>
  <si>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</si>
  <si>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</si>
  <si>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</si>
  <si>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</si>
  <si>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</si>
  <si>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</si>
  <si>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</si>
  <si>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</si>
  <si>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</si>
  <si>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</si>
  <si>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</si>
  <si>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</si>
  <si>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</si>
  <si>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</si>
  <si>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</si>
  <si>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</si>
  <si>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</si>
  <si>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</si>
  <si>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</si>
  <si>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</si>
  <si>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</si>
  <si>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</si>
  <si>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</si>
  <si>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</si>
  <si>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</si>
  <si>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</si>
  <si>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</si>
  <si>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</si>
  <si>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</si>
  <si>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</si>
  <si>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</si>
  <si>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</si>
  <si>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</si>
  <si>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</si>
  <si>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</si>
  <si>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</si>
  <si>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</si>
  <si>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</si>
  <si>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</si>
  <si>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</si>
  <si>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</si>
  <si>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</si>
  <si>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</si>
  <si>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</si>
  <si>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</si>
  <si>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</si>
  <si>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</si>
  <si>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</si>
  <si>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</si>
  <si>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</si>
  <si>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</si>
  <si>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</si>
  <si>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</si>
  <si>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</si>
  <si>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</si>
  <si>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</si>
  <si>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</si>
  <si>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</si>
  <si>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</si>
  <si>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</si>
  <si>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</si>
  <si>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</si>
  <si>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</si>
  <si>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</si>
  <si>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</si>
  <si>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</si>
  <si>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</si>
  <si>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</si>
  <si>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</si>
  <si>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</si>
  <si>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</si>
  <si>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</si>
  <si>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</si>
  <si>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</si>
  <si>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</si>
  <si>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</si>
  <si>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</si>
  <si>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</si>
  <si>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</si>
  <si>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</si>
  <si>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</si>
  <si>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</si>
  <si>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</si>
  <si>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</si>
  <si>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</si>
  <si>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</si>
  <si>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</si>
  <si>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</si>
  <si>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</si>
  <si>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</si>
  <si>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</si>
  <si>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</si>
  <si>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</si>
  <si>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</si>
  <si>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</si>
  <si>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</si>
  <si>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</si>
  <si>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</si>
  <si>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</si>
  <si>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</si>
  <si>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</si>
  <si>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</si>
  <si>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</si>
  <si>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</si>
  <si>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</si>
  <si>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</si>
  <si>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</si>
  <si>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</si>
  <si>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</si>
  <si>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</si>
  <si>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</si>
  <si>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</si>
  <si>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</si>
  <si>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</si>
  <si>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</si>
  <si>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</si>
  <si>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</si>
  <si>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</si>
  <si>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</si>
  <si>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</si>
  <si>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</si>
  <si>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</si>
  <si>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</si>
  <si>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</si>
  <si>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</si>
  <si>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</si>
  <si>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</si>
  <si>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</si>
  <si>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</si>
  <si>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</si>
  <si>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</si>
  <si>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</si>
  <si>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</si>
  <si>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</si>
  <si>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</si>
  <si>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</si>
  <si>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</si>
  <si>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</si>
  <si>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</si>
  <si>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</si>
  <si>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</si>
  <si>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</si>
  <si>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</si>
  <si>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</si>
  <si>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</si>
  <si>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</si>
  <si>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</si>
  <si>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</si>
  <si>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</si>
  <si>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</si>
  <si>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</si>
  <si>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</si>
  <si>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</si>
  <si>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</si>
  <si>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</si>
  <si>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</si>
  <si>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</si>
  <si>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</si>
  <si>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</si>
  <si>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</si>
  <si>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</si>
  <si>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</si>
  <si>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</si>
  <si>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</si>
  <si>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</si>
  <si>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</si>
  <si>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</si>
  <si>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</si>
  <si>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</si>
  <si>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</si>
  <si>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</si>
  <si>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</si>
  <si>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</si>
  <si>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</si>
  <si>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</si>
  <si>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</si>
  <si>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</si>
  <si>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</si>
  <si>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</si>
  <si>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</si>
  <si>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</si>
  <si>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</si>
  <si>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</si>
  <si>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</si>
  <si>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</si>
  <si>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</si>
  <si>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</si>
  <si>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</si>
  <si>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</si>
  <si>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</si>
  <si>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</si>
  <si>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</si>
  <si>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</si>
  <si>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</si>
  <si>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</si>
  <si>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</si>
  <si>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</si>
  <si>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</si>
  <si>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</si>
  <si>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</si>
  <si>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</si>
  <si>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</si>
  <si>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</si>
  <si>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</si>
  <si>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</si>
  <si>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</si>
  <si>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</si>
  <si>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</si>
  <si>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</si>
  <si>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</si>
  <si>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</si>
  <si>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</si>
  <si>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</si>
  <si>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</si>
  <si>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</si>
  <si>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</si>
  <si>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</si>
  <si>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</si>
  <si>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</si>
  <si>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</si>
  <si>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</si>
  <si>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</si>
  <si>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</si>
  <si>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</si>
  <si>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</si>
  <si>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</si>
  <si>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</si>
  <si>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</si>
  <si>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</si>
  <si>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</si>
  <si>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</si>
  <si>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</si>
  <si>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</si>
  <si>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</si>
  <si>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</si>
  <si>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</si>
  <si>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</si>
  <si>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</si>
  <si>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</si>
  <si>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</si>
  <si>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</si>
  <si>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</si>
  <si>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</si>
  <si>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</si>
  <si>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</si>
  <si>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</si>
  <si>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</si>
  <si>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</si>
  <si>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</si>
  <si>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</si>
  <si>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</si>
  <si>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</si>
  <si>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</si>
  <si>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</si>
  <si>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</si>
  <si>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</si>
  <si>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</si>
  <si>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</si>
  <si>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</si>
  <si>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</si>
  <si>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</si>
  <si>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</si>
  <si>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</si>
  <si>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</si>
  <si>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</si>
  <si>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</si>
  <si>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</si>
  <si>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</si>
  <si>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</si>
  <si>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</si>
  <si>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</si>
  <si>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</si>
  <si>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</si>
  <si>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</si>
  <si>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</si>
  <si>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</si>
  <si>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</si>
  <si>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</si>
  <si>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</si>
  <si>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</si>
  <si>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</si>
  <si>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</si>
  <si>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</si>
  <si>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</si>
  <si>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</si>
  <si>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</si>
  <si>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</si>
  <si>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</si>
  <si>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</si>
  <si>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</si>
  <si>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</si>
  <si>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</si>
  <si>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</si>
  <si>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</si>
  <si>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</si>
  <si>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</si>
  <si>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</si>
  <si>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</si>
  <si>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</si>
  <si>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</si>
  <si>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</si>
  <si>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</si>
  <si>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</si>
  <si>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</si>
  <si>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</si>
  <si>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</si>
  <si>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</si>
  <si>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</si>
  <si>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</si>
  <si>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</si>
  <si>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</si>
  <si>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</si>
  <si>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</si>
  <si>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</si>
  <si>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</si>
  <si>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</si>
  <si>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</si>
  <si>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</si>
  <si>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</si>
  <si>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</si>
  <si>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</si>
  <si>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</si>
  <si>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</si>
  <si>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</si>
  <si>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</si>
  <si>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</si>
  <si>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</si>
  <si>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</si>
  <si>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</si>
  <si>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</si>
  <si>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</si>
  <si>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</si>
  <si>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</si>
  <si>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</si>
  <si>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</si>
  <si>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</si>
  <si>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</si>
  <si>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</si>
  <si>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</si>
  <si>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</si>
  <si>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</si>
  <si>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</si>
  <si>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</si>
  <si>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</si>
  <si>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</si>
  <si>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</si>
  <si>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</si>
  <si>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</si>
  <si>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</si>
  <si>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</si>
  <si>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</si>
  <si>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</si>
  <si>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</si>
  <si>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</si>
  <si>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</si>
  <si>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</si>
  <si>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</si>
  <si>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</si>
  <si>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</si>
  <si>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</si>
  <si>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</si>
  <si>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</si>
  <si>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</si>
  <si>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</si>
  <si>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</si>
  <si>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</si>
  <si>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</si>
  <si>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</si>
  <si>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</si>
  <si>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</si>
  <si>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</si>
  <si>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</si>
  <si>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</si>
  <si>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</si>
  <si>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</si>
  <si>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</si>
  <si>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</si>
  <si>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</si>
  <si>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</si>
  <si>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</si>
  <si>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</si>
  <si>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</si>
  <si>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</si>
  <si>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</si>
  <si>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</si>
  <si>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</si>
  <si>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</si>
  <si>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</si>
  <si>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</si>
  <si>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</si>
  <si>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</si>
  <si>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</si>
  <si>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</si>
  <si>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</si>
  <si>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</si>
  <si>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</si>
  <si>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</si>
  <si>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</si>
  <si>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</si>
  <si>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</si>
  <si>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</si>
  <si>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</si>
  <si>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</si>
  <si>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</si>
  <si>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</si>
  <si>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</si>
  <si>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</si>
  <si>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</si>
  <si>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</si>
  <si>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</si>
  <si>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</si>
  <si>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</si>
  <si>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</si>
  <si>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</si>
  <si>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</si>
  <si>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</si>
  <si>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</si>
  <si>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</si>
  <si>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</si>
  <si>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</si>
  <si>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</si>
  <si>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</si>
  <si>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</si>
  <si>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</si>
  <si>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</si>
  <si>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</si>
  <si>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</si>
  <si>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</si>
  <si>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</si>
  <si>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</si>
  <si>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</si>
  <si>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</si>
  <si>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</si>
  <si>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</si>
  <si>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</si>
  <si>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</si>
  <si>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</si>
  <si>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</si>
  <si>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</si>
  <si>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</si>
  <si>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</si>
  <si>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</si>
  <si>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</si>
  <si>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</si>
  <si>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</si>
  <si>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</si>
  <si>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</si>
  <si>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</si>
  <si>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</si>
  <si>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</si>
  <si>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</si>
  <si>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</si>
  <si>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</si>
  <si>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</si>
  <si>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</si>
  <si>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</si>
  <si>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</si>
  <si>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</si>
  <si>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</si>
  <si>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</si>
  <si>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</si>
  <si>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</si>
  <si>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</si>
  <si>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</si>
  <si>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</si>
  <si>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</si>
  <si>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</si>
  <si>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</si>
  <si>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</si>
  <si>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</si>
  <si>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</si>
  <si>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</si>
  <si>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</si>
  <si>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</si>
  <si>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</si>
  <si>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</si>
  <si>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</si>
  <si>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</si>
  <si>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</si>
  <si>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</si>
  <si>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</si>
  <si>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</si>
  <si>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</si>
  <si>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</si>
  <si>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</si>
  <si>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</si>
  <si>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</si>
  <si>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</si>
  <si>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</si>
  <si>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</si>
  <si>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</si>
  <si>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</si>
  <si>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</si>
  <si>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</si>
  <si>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</si>
  <si>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</si>
  <si>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</si>
  <si>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</si>
  <si>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</si>
  <si>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</si>
  <si>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</si>
  <si>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</si>
  <si>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</si>
  <si>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</si>
  <si>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</si>
  <si>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</si>
  <si>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</si>
  <si>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</si>
  <si>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</si>
  <si>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</si>
  <si>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</si>
  <si>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</si>
  <si>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</si>
  <si>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</si>
  <si>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</si>
  <si>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</si>
  <si>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</si>
  <si>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</si>
  <si>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</si>
  <si>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</si>
  <si>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</si>
  <si>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</si>
  <si>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</si>
  <si>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</si>
  <si>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</si>
  <si>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</si>
  <si>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</si>
  <si>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</si>
  <si>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</si>
  <si>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</si>
  <si>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</si>
  <si>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</si>
  <si>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</si>
  <si>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</si>
  <si>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</si>
  <si>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</si>
  <si>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</si>
  <si>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</si>
  <si>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</si>
  <si>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</si>
  <si>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</si>
  <si>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</si>
  <si>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</si>
  <si>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</si>
  <si>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</si>
  <si>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</si>
  <si>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</si>
  <si>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</si>
  <si>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</si>
  <si>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</si>
  <si>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</si>
  <si>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</si>
  <si>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</si>
  <si>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</si>
  <si>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</si>
  <si>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</si>
  <si>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</si>
  <si>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</si>
  <si>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</si>
  <si>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</si>
  <si>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</si>
  <si>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</si>
  <si>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</si>
  <si>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</si>
  <si>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</si>
  <si>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</si>
  <si>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</si>
  <si>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</si>
  <si>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</si>
  <si>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</si>
  <si>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</si>
  <si>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</si>
  <si>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</si>
  <si>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</si>
  <si>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</si>
  <si>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</si>
  <si>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</si>
  <si>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</si>
  <si>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</si>
  <si>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</si>
  <si>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</si>
  <si>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</si>
  <si>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</si>
  <si>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</si>
  <si>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</si>
  <si>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</si>
  <si>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</si>
  <si>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</si>
  <si>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</si>
  <si>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</si>
  <si>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</si>
  <si>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</si>
  <si>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</si>
  <si>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</si>
  <si>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</si>
  <si>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</si>
  <si>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</si>
  <si>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</si>
  <si>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</si>
  <si>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</si>
  <si>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</si>
  <si>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</si>
  <si>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</si>
  <si>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</si>
  <si>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</si>
  <si>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</si>
  <si>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</si>
  <si>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</si>
  <si>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</si>
  <si>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</si>
  <si>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</si>
  <si>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</si>
  <si>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</si>
  <si>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</si>
  <si>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</si>
  <si>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</si>
  <si>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</si>
  <si>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</si>
  <si>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</si>
  <si>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</si>
  <si>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</si>
  <si>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</si>
  <si>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</si>
  <si>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</si>
  <si>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</si>
  <si>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</si>
  <si>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</si>
  <si>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</si>
  <si>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</si>
  <si>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</si>
  <si>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</si>
  <si>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</si>
  <si>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</si>
  <si>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</si>
  <si>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</si>
  <si>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</si>
  <si>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</si>
  <si>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</si>
  <si>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</si>
  <si>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</si>
  <si>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</si>
  <si>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</si>
  <si>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</si>
  <si>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</si>
  <si>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</si>
  <si>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</si>
  <si>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</si>
  <si>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</si>
  <si>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</si>
  <si>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</si>
  <si>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</si>
  <si>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</si>
  <si>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</si>
  <si>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</si>
  <si>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</si>
  <si>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</si>
  <si>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</si>
  <si>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</si>
  <si>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</si>
  <si>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</si>
  <si>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</si>
  <si>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</si>
  <si>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</si>
  <si>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</si>
  <si>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</si>
  <si>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</si>
  <si>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</si>
  <si>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</si>
  <si>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</si>
  <si>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</si>
  <si>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</si>
  <si>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</si>
  <si>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</si>
  <si>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</si>
  <si>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</si>
  <si>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</si>
  <si>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</si>
  <si>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</si>
  <si>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</si>
  <si>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</si>
  <si>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</si>
  <si>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</si>
  <si>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</si>
  <si>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</si>
  <si>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</si>
  <si>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</si>
  <si>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</si>
  <si>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</si>
  <si>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</si>
  <si>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</si>
  <si>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</si>
  <si>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</si>
  <si>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</si>
  <si>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</si>
  <si>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</si>
  <si>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</si>
  <si>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</si>
  <si>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</si>
  <si>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</si>
  <si>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</si>
  <si>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</si>
  <si>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</si>
  <si>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</si>
  <si>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</si>
  <si>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</si>
  <si>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</si>
  <si>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</si>
  <si>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</si>
  <si>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</si>
  <si>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</si>
  <si>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</si>
  <si>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</si>
  <si>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</si>
  <si>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</si>
  <si>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</si>
  <si>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</si>
  <si>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</si>
  <si>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</si>
  <si>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</si>
  <si>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</si>
  <si>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</si>
  <si>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</si>
  <si>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</si>
  <si>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</si>
  <si>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</si>
  <si>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</si>
  <si>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</si>
  <si>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</si>
  <si>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</si>
  <si>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</si>
  <si>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</si>
  <si>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</si>
  <si>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</si>
  <si>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</si>
  <si>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</si>
  <si>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</si>
  <si>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</si>
  <si>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</si>
  <si>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</si>
  <si>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</si>
  <si>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</si>
  <si>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</si>
  <si>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</si>
  <si>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</si>
  <si>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</si>
  <si>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</si>
  <si>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</si>
  <si>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</si>
  <si>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</si>
  <si>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</si>
  <si>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</si>
  <si>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</si>
  <si>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</si>
  <si>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</si>
  <si>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</si>
  <si>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</si>
  <si>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</si>
  <si>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</si>
  <si>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</si>
  <si>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</si>
  <si>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</si>
  <si>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</si>
  <si>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</si>
  <si>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</si>
  <si>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</si>
  <si>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</si>
  <si>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</si>
  <si>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</si>
  <si>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</si>
  <si>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</si>
  <si>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</si>
  <si>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</si>
  <si>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</si>
  <si>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</si>
  <si>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</si>
  <si>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</si>
  <si>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</si>
  <si>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</si>
  <si>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</si>
  <si>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</si>
  <si>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</si>
  <si>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</si>
  <si>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</si>
  <si>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</si>
  <si>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</si>
  <si>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</si>
  <si>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</si>
  <si>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</si>
  <si>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</si>
  <si>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</si>
  <si>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</si>
  <si>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</si>
  <si>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</si>
  <si>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</si>
  <si>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</si>
  <si>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</si>
  <si>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</si>
  <si>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</si>
  <si>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</si>
  <si>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</si>
  <si>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</si>
  <si>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</si>
  <si>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</si>
  <si>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</si>
  <si>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</si>
  <si>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</si>
  <si>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</si>
  <si>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</si>
  <si>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</si>
  <si>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</si>
  <si>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</si>
  <si>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</si>
  <si>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</si>
  <si>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</si>
  <si>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</si>
  <si>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</si>
  <si>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</si>
  <si>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</si>
  <si>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</si>
  <si>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</si>
  <si>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</si>
  <si>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</si>
  <si>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</si>
  <si>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</si>
  <si>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</si>
  <si>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</si>
  <si>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</si>
  <si>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</si>
  <si>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</si>
  <si>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</si>
  <si>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</si>
  <si>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</si>
  <si>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</si>
  <si>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</si>
  <si>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</si>
  <si>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</si>
  <si>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</si>
  <si>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</si>
  <si>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</si>
  <si>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</si>
  <si>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</si>
  <si>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</si>
  <si>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</si>
  <si>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</si>
  <si>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</si>
  <si>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</si>
  <si>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</si>
  <si>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</si>
  <si>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</si>
  <si>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</si>
  <si>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</si>
  <si>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</si>
  <si>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</si>
  <si>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</si>
  <si>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</si>
  <si>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</si>
  <si>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</si>
  <si>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</si>
  <si>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</si>
  <si>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</si>
  <si>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</si>
  <si>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</si>
  <si>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</si>
  <si>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</si>
  <si>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</si>
  <si>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</si>
  <si>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</si>
  <si>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</si>
  <si>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</si>
  <si>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</si>
  <si>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</si>
  <si>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</si>
  <si>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</si>
  <si>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</si>
  <si>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</si>
  <si>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</si>
  <si>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</si>
  <si>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</si>
  <si>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</si>
  <si>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</si>
  <si>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</si>
  <si>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</si>
  <si>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</si>
  <si>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</si>
  <si>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</si>
  <si>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</si>
  <si>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</si>
  <si>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</si>
  <si>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</si>
  <si>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</si>
  <si>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</si>
  <si>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</si>
  <si>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</si>
  <si>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</si>
  <si>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</si>
  <si>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</si>
  <si>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</si>
  <si>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</si>
  <si>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</si>
  <si>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</si>
  <si>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</si>
  <si>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</si>
  <si>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</si>
  <si>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</si>
  <si>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</si>
  <si>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</si>
  <si>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</si>
  <si>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</si>
  <si>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</si>
  <si>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</si>
  <si>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</si>
  <si>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</si>
  <si>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</si>
  <si>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</si>
  <si>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</si>
  <si>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</si>
  <si>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</si>
  <si>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</si>
  <si>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</si>
  <si>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</si>
  <si>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</si>
  <si>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</si>
  <si>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</si>
  <si>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</si>
  <si>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</si>
  <si>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</si>
  <si>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</si>
  <si>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</si>
  <si>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</si>
  <si>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</si>
  <si>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</si>
  <si>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</si>
  <si>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</si>
  <si>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</si>
  <si>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</si>
  <si>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</si>
  <si>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</si>
  <si>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</si>
  <si>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</si>
  <si>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</si>
  <si>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</si>
  <si>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</si>
  <si>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</si>
  <si>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</si>
  <si>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</si>
  <si>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</si>
  <si>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</si>
  <si>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</si>
  <si>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</si>
  <si>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</si>
  <si>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</si>
  <si>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</si>
  <si>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</si>
  <si>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</si>
  <si>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</si>
  <si>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</si>
  <si>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</si>
  <si>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</si>
  <si>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</si>
  <si>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</si>
  <si>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</si>
  <si>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</si>
  <si>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</si>
  <si>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</si>
  <si>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</si>
  <si>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</si>
  <si>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</si>
  <si>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</si>
  <si>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</si>
  <si>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</si>
  <si>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</si>
  <si>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</si>
  <si>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</si>
  <si>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</si>
  <si>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</si>
  <si>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</si>
  <si>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</si>
  <si>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</si>
  <si>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</si>
  <si>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</si>
  <si>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</si>
  <si>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</si>
  <si>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</si>
  <si>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</si>
  <si>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</si>
  <si>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</si>
  <si>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</si>
  <si>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</si>
  <si>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</si>
  <si>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</si>
  <si>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</si>
  <si>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</si>
  <si>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</si>
  <si>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</si>
  <si>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</si>
  <si>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</si>
  <si>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</si>
  <si>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</si>
  <si>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</si>
  <si>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</si>
  <si>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</si>
  <si>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</si>
  <si>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</si>
  <si>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</si>
  <si>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</si>
  <si>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</si>
  <si>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</si>
  <si>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</si>
  <si>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</si>
  <si>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</si>
  <si>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</si>
  <si>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</si>
  <si>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</si>
  <si>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</si>
  <si>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</si>
  <si>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</si>
  <si>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</si>
  <si>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</si>
  <si>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</si>
  <si>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</si>
  <si>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</si>
  <si>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</si>
  <si>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</si>
  <si>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</si>
  <si>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</si>
  <si>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</si>
  <si>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</si>
  <si>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</si>
  <si>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</si>
  <si>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</si>
  <si>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</si>
  <si>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</si>
  <si>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</si>
  <si>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</si>
  <si>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</si>
  <si>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</si>
  <si>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</si>
  <si>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</si>
  <si>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</si>
  <si>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</si>
  <si>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</si>
  <si>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</si>
  <si>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</si>
  <si>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</si>
  <si>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</si>
  <si>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</si>
  <si>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</si>
  <si>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</si>
  <si>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</si>
  <si>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</si>
  <si>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</si>
  <si>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</si>
  <si>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</si>
  <si>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</si>
  <si>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</si>
  <si>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</si>
  <si>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</si>
  <si>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</si>
  <si>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</si>
  <si>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</si>
  <si>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</si>
  <si>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</si>
  <si>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</si>
  <si>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</si>
  <si>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</si>
  <si>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</si>
  <si>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</si>
  <si>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</si>
  <si>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</si>
  <si>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</si>
  <si>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</si>
  <si>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</si>
  <si>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</si>
  <si>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</si>
  <si>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</si>
  <si>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</si>
  <si>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</si>
  <si>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</si>
  <si>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</si>
  <si>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</si>
  <si>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</si>
  <si>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</si>
  <si>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</si>
  <si>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</si>
  <si>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</si>
  <si>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</si>
  <si>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</si>
  <si>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</si>
  <si>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</si>
  <si>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</si>
  <si>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</si>
  <si>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</si>
  <si>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</si>
  <si>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</si>
  <si>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</si>
  <si>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</si>
  <si>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</si>
  <si>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</si>
  <si>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</si>
  <si>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</si>
  <si>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</si>
  <si>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</si>
  <si>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</si>
  <si>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</si>
  <si>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</si>
  <si>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</si>
  <si>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</si>
  <si>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</si>
  <si>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</si>
  <si>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</si>
  <si>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</si>
  <si>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</si>
  <si>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</si>
  <si>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</si>
  <si>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</si>
  <si>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</si>
  <si>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</si>
  <si>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</si>
  <si>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</si>
  <si>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</si>
  <si>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</si>
  <si>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</si>
  <si>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</si>
  <si>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</si>
  <si>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</si>
  <si>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</si>
  <si>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</si>
  <si>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</si>
  <si>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</si>
  <si>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</si>
  <si>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</si>
  <si>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</si>
  <si>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</si>
  <si>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</si>
  <si>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</si>
  <si>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</si>
  <si>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</si>
  <si>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</si>
  <si>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</si>
  <si>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</si>
  <si>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</si>
  <si>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</si>
  <si>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</si>
  <si>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</si>
  <si>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</si>
  <si>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</si>
  <si>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</si>
  <si>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</si>
  <si>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</si>
  <si>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</si>
  <si>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</si>
  <si>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</si>
  <si>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</si>
  <si>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</si>
  <si>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</si>
  <si>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</si>
  <si>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</si>
  <si>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</si>
  <si>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</si>
  <si>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</si>
  <si>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</si>
  <si>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</si>
  <si>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</si>
  <si>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</si>
  <si>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</si>
  <si>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</si>
  <si>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</si>
  <si>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</si>
  <si>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</si>
  <si>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</si>
  <si>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</si>
  <si>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</si>
  <si>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</si>
  <si>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</si>
  <si>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</si>
  <si>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</si>
  <si>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</si>
  <si>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</si>
  <si>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</si>
  <si>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</si>
  <si>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</si>
  <si>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</si>
  <si>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</si>
  <si>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</si>
  <si>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</si>
  <si>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</si>
  <si>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</si>
  <si>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</si>
  <si>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</si>
  <si>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</si>
  <si>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</si>
  <si>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</si>
  <si>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</si>
  <si>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</si>
  <si>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</si>
  <si>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</si>
  <si>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</si>
  <si>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</si>
  <si>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</si>
  <si>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</si>
  <si>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</si>
  <si>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</si>
  <si>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</si>
  <si>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</si>
  <si>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</si>
  <si>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</si>
  <si>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</si>
  <si>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</si>
  <si>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</si>
  <si>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</si>
  <si>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</si>
  <si>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</si>
  <si>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</si>
  <si>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</si>
  <si>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</si>
  <si>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</si>
  <si>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</si>
  <si>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</si>
  <si>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</si>
  <si>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</si>
  <si>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</si>
  <si>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</si>
  <si>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</si>
  <si>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</si>
  <si>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</si>
  <si>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</si>
  <si>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</si>
  <si>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</si>
  <si>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</si>
  <si>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</si>
  <si>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</si>
  <si>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</si>
  <si>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</si>
  <si>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</si>
  <si>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</si>
  <si>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</si>
  <si>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</si>
  <si>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</si>
  <si>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</si>
  <si>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</si>
  <si>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</si>
  <si>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</si>
  <si>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</si>
  <si>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</si>
  <si>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</si>
  <si>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</si>
  <si>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</si>
  <si>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</si>
  <si>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</si>
  <si>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</si>
  <si>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</si>
  <si>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</si>
  <si>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</si>
  <si>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</si>
  <si>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</si>
  <si>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</si>
  <si>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</si>
  <si>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</si>
  <si>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</si>
  <si>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</si>
  <si>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</si>
  <si>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</si>
  <si>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</si>
  <si>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</si>
  <si>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</si>
  <si>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</si>
  <si>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</si>
  <si>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</si>
  <si>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</si>
  <si>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</si>
  <si>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</si>
  <si>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</si>
  <si>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</si>
  <si>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</si>
  <si>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</si>
  <si>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</si>
  <si>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</si>
  <si>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</si>
  <si>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</si>
  <si>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</si>
  <si>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</si>
  <si>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</si>
  <si>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</si>
  <si>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</si>
  <si>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</si>
  <si>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</si>
  <si>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</si>
  <si>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</si>
  <si>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</si>
  <si>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</si>
  <si>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</si>
  <si>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</si>
  <si>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</si>
  <si>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</si>
  <si>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</si>
  <si>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</si>
  <si>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</si>
  <si>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</si>
  <si>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</si>
  <si>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</si>
  <si>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</si>
  <si>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</si>
  <si>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</si>
  <si>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</si>
  <si>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</si>
  <si>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</si>
  <si>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</si>
  <si>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</si>
  <si>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</si>
  <si>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</si>
  <si>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</si>
  <si>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</si>
  <si>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</si>
  <si>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</si>
  <si>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</si>
  <si>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</si>
  <si>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</si>
  <si>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</si>
  <si>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</si>
  <si>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</si>
  <si>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</si>
  <si>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</si>
  <si>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</si>
  <si>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</si>
  <si>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</si>
  <si>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</si>
  <si>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</si>
  <si>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</si>
  <si>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</si>
  <si>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</si>
  <si>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</si>
  <si>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</si>
  <si>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</si>
  <si>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</si>
  <si>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</si>
  <si>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</si>
  <si>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</si>
  <si>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</si>
  <si>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</si>
  <si>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</si>
  <si>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</si>
  <si>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</si>
  <si>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</si>
  <si>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</si>
  <si>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</si>
  <si>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</si>
  <si>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</si>
  <si>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</si>
  <si>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</si>
  <si>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</si>
  <si>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</si>
  <si>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</si>
  <si>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</si>
  <si>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</si>
  <si>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</si>
  <si>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</si>
  <si>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</si>
  <si>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</si>
  <si>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</si>
  <si>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</si>
  <si>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</si>
  <si>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</si>
  <si>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</si>
  <si>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</si>
  <si>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</si>
  <si>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</si>
  <si>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</si>
  <si>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</si>
  <si>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</si>
  <si>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</si>
  <si>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</si>
  <si>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</si>
  <si>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</si>
  <si>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</si>
  <si>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</si>
  <si>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</si>
  <si>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</si>
  <si>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</si>
  <si>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</si>
  <si>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</si>
  <si>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</si>
  <si>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</si>
  <si>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</si>
  <si>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</si>
  <si>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</si>
  <si>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</si>
  <si>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</si>
  <si>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</si>
  <si>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</si>
  <si>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</si>
  <si>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</si>
  <si>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</si>
  <si>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</si>
  <si>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</si>
  <si>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</si>
  <si>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</si>
  <si>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</si>
  <si>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</si>
  <si>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</si>
  <si>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</si>
  <si>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</si>
  <si>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</si>
  <si>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</si>
  <si>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</si>
  <si>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</si>
  <si>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</si>
  <si>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</si>
  <si>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</si>
  <si>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</si>
  <si>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</si>
  <si>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</si>
  <si>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</si>
  <si>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</si>
  <si>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</si>
  <si>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</si>
  <si>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</si>
  <si>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</si>
  <si>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</si>
  <si>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</si>
  <si>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</si>
  <si>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</si>
  <si>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</si>
  <si>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</si>
  <si>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</si>
  <si>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</si>
  <si>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</si>
  <si>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</si>
  <si>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</si>
  <si>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</si>
  <si>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</si>
  <si>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</si>
  <si>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</si>
  <si>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</si>
  <si>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</si>
  <si>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</si>
  <si>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</si>
  <si>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</si>
  <si>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</si>
  <si>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</si>
  <si>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</si>
  <si>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</si>
  <si>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</si>
  <si>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</si>
  <si>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</si>
  <si>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</si>
  <si>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</si>
  <si>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</si>
  <si>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</si>
  <si>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</si>
  <si>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</si>
  <si>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</si>
  <si>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</si>
  <si>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</si>
  <si>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</si>
  <si>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</si>
  <si>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</si>
  <si>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</si>
  <si>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</si>
  <si>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</si>
  <si>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</si>
  <si>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</si>
  <si>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</si>
  <si>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</si>
  <si>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</si>
  <si>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</si>
  <si>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</si>
  <si>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</si>
  <si>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</si>
  <si>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</si>
  <si>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</si>
  <si>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</si>
  <si>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</si>
  <si>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</si>
  <si>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</si>
  <si>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</si>
  <si>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</si>
  <si>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</si>
  <si>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</si>
  <si>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</si>
  <si>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</si>
  <si>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</si>
  <si>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</si>
  <si>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</si>
  <si>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</si>
  <si>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</si>
  <si>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</si>
  <si>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</si>
  <si>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</si>
  <si>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</si>
  <si>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</si>
  <si>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</si>
  <si>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</si>
  <si>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</si>
  <si>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</si>
  <si>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</si>
  <si>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</si>
  <si>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</si>
  <si>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</si>
  <si>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</si>
  <si>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</si>
  <si>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</si>
  <si>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</si>
  <si>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</si>
  <si>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</si>
  <si>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</si>
  <si>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</si>
  <si>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</si>
  <si>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</si>
  <si>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</si>
  <si>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</si>
  <si>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</si>
  <si>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</si>
  <si>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</si>
  <si>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</si>
  <si>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</si>
  <si>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</si>
  <si>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</si>
  <si>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</si>
  <si>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</si>
  <si>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</si>
  <si>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</si>
  <si>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</si>
  <si>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</si>
  <si>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</si>
  <si>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</si>
  <si>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</si>
  <si>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</si>
  <si>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</si>
  <si>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</si>
  <si>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</si>
  <si>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</si>
  <si>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</si>
  <si>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</si>
  <si>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</si>
  <si>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</si>
  <si>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</si>
  <si>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</si>
  <si>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</si>
  <si>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</si>
  <si>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</si>
  <si>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</si>
  <si>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</si>
  <si>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</si>
  <si>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</si>
  <si>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</si>
  <si>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</si>
  <si>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</si>
  <si>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</si>
  <si>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</si>
  <si>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</si>
  <si>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</si>
  <si>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</si>
  <si>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</si>
  <si>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</si>
  <si>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</si>
  <si>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</si>
  <si>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</si>
  <si>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</si>
  <si>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</si>
  <si>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</si>
  <si>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</si>
  <si>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</si>
  <si>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</si>
  <si>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</si>
  <si>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</si>
  <si>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</si>
  <si>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</si>
  <si>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</si>
  <si>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</si>
  <si>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</si>
  <si>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</si>
  <si>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</si>
  <si>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</si>
  <si>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</si>
  <si>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</si>
  <si>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</si>
  <si>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</si>
  <si>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</si>
  <si>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</si>
  <si>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</si>
  <si>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</si>
  <si>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</si>
  <si>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</si>
  <si>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</si>
  <si>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</si>
  <si>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</si>
  <si>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</si>
  <si>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</si>
  <si>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</si>
  <si>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</si>
  <si>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</si>
  <si>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</si>
  <si>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</si>
  <si>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</si>
  <si>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</si>
  <si>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</si>
  <si>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</si>
  <si>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</si>
  <si>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</si>
  <si>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</si>
  <si>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</si>
  <si>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</si>
  <si>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</si>
  <si>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</si>
  <si>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</si>
  <si>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</si>
  <si>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</si>
  <si>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</si>
  <si>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</si>
  <si>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</si>
  <si>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</si>
  <si>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</si>
  <si>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</si>
  <si>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</si>
  <si>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</si>
  <si>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</si>
  <si>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</si>
  <si>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</si>
  <si>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</si>
  <si>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</si>
  <si>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</si>
  <si>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</si>
  <si>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</si>
  <si>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</si>
  <si>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</si>
  <si>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</si>
  <si>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</si>
  <si>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</si>
  <si>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</si>
  <si>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</si>
  <si>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</si>
  <si>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</si>
  <si>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</si>
  <si>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</si>
  <si>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</si>
  <si>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</si>
  <si>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</si>
  <si>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</si>
  <si>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</si>
  <si>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</si>
  <si>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</si>
  <si>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</si>
  <si>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</si>
  <si>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</si>
  <si>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</si>
  <si>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</si>
  <si>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</si>
  <si>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</si>
  <si>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</si>
  <si>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</si>
  <si>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</si>
  <si>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</si>
  <si>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</si>
  <si>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</si>
  <si>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</si>
  <si>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</si>
  <si>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</si>
  <si>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</si>
  <si>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</si>
  <si>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</si>
  <si>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</si>
  <si>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</si>
  <si>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</si>
  <si>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</si>
  <si>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</si>
  <si>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</si>
  <si>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</si>
  <si>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</si>
  <si>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</si>
  <si>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</si>
  <si>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</si>
  <si>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</si>
  <si>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</si>
  <si>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</si>
  <si>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</si>
  <si>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</si>
  <si>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</si>
  <si>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</si>
  <si>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</si>
  <si>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</si>
  <si>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</si>
  <si>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</si>
  <si>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</si>
  <si>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</si>
  <si>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</si>
  <si>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</si>
  <si>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</si>
  <si>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</si>
  <si>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</si>
  <si>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</si>
  <si>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</si>
  <si>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</si>
  <si>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</si>
  <si>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</si>
  <si>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</si>
  <si>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</si>
  <si>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</si>
  <si>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</si>
  <si>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</si>
  <si>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</si>
  <si>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</si>
  <si>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</si>
  <si>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</si>
  <si>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</si>
  <si>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</si>
  <si>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</si>
  <si>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</si>
  <si>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</si>
  <si>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</si>
  <si>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</si>
  <si>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</si>
  <si>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</si>
  <si>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</si>
  <si>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</si>
  <si>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</si>
  <si>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</si>
  <si>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</si>
  <si>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</si>
  <si>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</si>
  <si>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</si>
  <si>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</si>
  <si>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</si>
  <si>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</si>
  <si>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</si>
  <si>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</si>
  <si>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</si>
  <si>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</si>
  <si>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</si>
  <si>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</si>
  <si>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</si>
  <si>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</si>
  <si>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</si>
  <si>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</si>
  <si>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</si>
  <si>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</si>
  <si>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</si>
  <si>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</si>
  <si>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</si>
  <si>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</si>
  <si>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</si>
  <si>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</si>
  <si>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</si>
  <si>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</si>
  <si>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</si>
  <si>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</si>
  <si>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</si>
  <si>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</si>
  <si>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</si>
  <si>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</si>
  <si>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</si>
  <si>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</si>
  <si>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</si>
  <si>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</si>
  <si>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</si>
  <si>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</si>
  <si>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</si>
  <si>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</si>
  <si>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</si>
  <si>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</si>
  <si>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</si>
  <si>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</si>
  <si>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</si>
  <si>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</si>
  <si>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</si>
  <si>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</si>
  <si>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</si>
  <si>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</si>
  <si>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</si>
  <si>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</si>
  <si>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</si>
  <si>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</si>
  <si>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</si>
  <si>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</si>
  <si>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</si>
  <si>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</si>
  <si>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</si>
  <si>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</si>
  <si>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</si>
  <si>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</si>
  <si>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</si>
  <si>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</si>
  <si>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</si>
  <si>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</si>
  <si>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</si>
  <si>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</si>
  <si>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</si>
  <si>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</si>
  <si>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</si>
  <si>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</si>
  <si>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</si>
  <si>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</si>
  <si>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</si>
  <si>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</si>
  <si>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</si>
  <si>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</si>
  <si>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</si>
  <si>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</si>
  <si>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</si>
  <si>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</si>
  <si>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</si>
  <si>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</si>
  <si>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</si>
  <si>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</si>
  <si>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</si>
  <si>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</si>
  <si>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</si>
  <si>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</si>
  <si>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</si>
  <si>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</si>
  <si>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</si>
  <si>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</si>
  <si>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</si>
  <si>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</si>
  <si>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</si>
  <si>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</si>
  <si>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</si>
  <si>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</si>
  <si>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</si>
  <si>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</si>
  <si>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</si>
  <si>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</si>
  <si>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</si>
  <si>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</si>
  <si>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</si>
  <si>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</si>
  <si>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</si>
  <si>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</si>
  <si>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</si>
  <si>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</si>
  <si>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</si>
  <si>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</si>
  <si>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</si>
  <si>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</si>
  <si>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</si>
  <si>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</si>
  <si>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</si>
  <si>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</si>
  <si>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</si>
  <si>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</si>
  <si>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</si>
  <si>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</si>
  <si>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</si>
  <si>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</si>
  <si>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</si>
  <si>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</si>
  <si>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</si>
  <si>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</si>
  <si>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</si>
  <si>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</si>
  <si>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</si>
  <si>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</si>
  <si>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</si>
  <si>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</si>
  <si>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</si>
  <si>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</si>
  <si>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</si>
  <si>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</si>
  <si>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</si>
  <si>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</si>
  <si>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</si>
  <si>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</si>
  <si>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</si>
  <si>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</si>
  <si>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</si>
  <si>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</si>
  <si>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</si>
  <si>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</si>
  <si>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</si>
  <si>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</si>
  <si>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</si>
  <si>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</si>
  <si>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</si>
  <si>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</si>
  <si>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</si>
  <si>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</si>
  <si>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</si>
  <si>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</si>
  <si>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</si>
  <si>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</si>
  <si>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</si>
  <si>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</si>
  <si>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</si>
  <si>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</si>
  <si>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</si>
  <si>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</si>
  <si>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</si>
  <si>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</si>
  <si>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</si>
  <si>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</si>
  <si>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</si>
  <si>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</si>
  <si>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</si>
  <si>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</si>
  <si>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</si>
  <si>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</si>
  <si>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</si>
  <si>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</si>
  <si>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</si>
  <si>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</si>
  <si>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</si>
  <si>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</si>
  <si>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</si>
  <si>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</si>
  <si>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</si>
  <si>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</si>
  <si>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</si>
  <si>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</si>
  <si>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</si>
  <si>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</si>
  <si>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</si>
  <si>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</si>
  <si>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</si>
  <si>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</si>
  <si>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</si>
  <si>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</si>
  <si>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</si>
  <si>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</si>
  <si>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</si>
  <si>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</si>
  <si>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</si>
  <si>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</si>
  <si>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</si>
  <si>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</si>
  <si>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</si>
  <si>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</si>
  <si>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</si>
  <si>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</si>
  <si>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</si>
  <si>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</si>
  <si>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</si>
  <si>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</si>
  <si>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</si>
  <si>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</si>
  <si>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</si>
  <si>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</si>
  <si>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</si>
  <si>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</si>
  <si>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</si>
  <si>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</si>
  <si>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</si>
  <si>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</si>
  <si>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</si>
  <si>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</si>
  <si>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</si>
  <si>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</si>
  <si>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</si>
  <si>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</si>
  <si>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</si>
  <si>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</si>
  <si>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</si>
  <si>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</si>
  <si>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</si>
  <si>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</si>
  <si>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</si>
  <si>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</si>
  <si>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</si>
  <si>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</si>
  <si>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</si>
  <si>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</si>
  <si>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</si>
  <si>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</si>
  <si>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</si>
  <si>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</si>
  <si>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</si>
  <si>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</si>
  <si>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</si>
  <si>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</si>
  <si>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</si>
  <si>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</si>
  <si>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</si>
  <si>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</si>
  <si>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</si>
  <si>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</si>
  <si>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</si>
  <si>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</si>
  <si>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</si>
  <si>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</si>
  <si>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</si>
  <si>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</si>
  <si>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</si>
  <si>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</si>
  <si>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</si>
  <si>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</si>
  <si>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</si>
  <si>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</si>
  <si>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</si>
  <si>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</si>
  <si>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</si>
  <si>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</si>
  <si>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</si>
  <si>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</si>
  <si>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</si>
  <si>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</si>
  <si>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</si>
  <si>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</si>
  <si>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</si>
  <si>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</si>
  <si>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</si>
  <si>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</si>
  <si>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</si>
  <si>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</si>
  <si>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</si>
  <si>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</si>
  <si>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</si>
  <si>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</si>
  <si>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</si>
  <si>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</si>
  <si>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</si>
  <si>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</si>
  <si>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</si>
  <si>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</si>
  <si>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</si>
  <si>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</si>
  <si>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</si>
  <si>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</si>
  <si>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</si>
  <si>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</si>
  <si>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</si>
  <si>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</si>
  <si>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</si>
  <si>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</si>
  <si>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</si>
  <si>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</si>
  <si>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</si>
  <si>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</si>
  <si>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</si>
  <si>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</si>
  <si>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</si>
  <si>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</si>
  <si>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</si>
  <si>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</si>
  <si>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</si>
  <si>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</si>
  <si>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</si>
  <si>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</si>
  <si>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</si>
  <si>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</si>
  <si>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</si>
  <si>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</si>
  <si>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</si>
  <si>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</si>
  <si>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</si>
  <si>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</si>
  <si>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</si>
  <si>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</si>
  <si>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</si>
  <si>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</si>
  <si>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</si>
  <si>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</si>
  <si>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</si>
  <si>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</si>
  <si>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</si>
  <si>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</si>
  <si>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</si>
  <si>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</si>
  <si>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</si>
  <si>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</si>
  <si>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</si>
  <si>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</si>
  <si>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</si>
  <si>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</si>
  <si>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</si>
  <si>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</si>
  <si>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</si>
  <si>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</si>
  <si>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</si>
  <si>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</si>
  <si>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</si>
  <si>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</si>
  <si>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</si>
  <si>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</si>
  <si>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</si>
  <si>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</si>
  <si>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</si>
  <si>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</si>
  <si>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</si>
  <si>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</si>
  <si>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</si>
  <si>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</si>
  <si>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</si>
  <si>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</si>
  <si>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</si>
  <si>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</si>
  <si>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</si>
  <si>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</si>
  <si>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</si>
  <si>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</si>
  <si>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</si>
  <si>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</si>
  <si>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</si>
  <si>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</si>
  <si>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</si>
  <si>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</si>
  <si>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</si>
  <si>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</si>
  <si>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</si>
  <si>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</si>
  <si>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</si>
  <si>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</si>
  <si>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</si>
  <si>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</si>
  <si>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</si>
  <si>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</si>
  <si>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</si>
  <si>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</si>
  <si>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</si>
  <si>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</si>
  <si>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</si>
  <si>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</si>
  <si>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</si>
  <si>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</si>
  <si>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</si>
  <si>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</si>
  <si>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</si>
  <si>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</si>
  <si>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</si>
  <si>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</si>
  <si>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</si>
  <si>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</si>
  <si>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</si>
  <si>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</si>
  <si>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</si>
  <si>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</si>
  <si>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</si>
  <si>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</si>
  <si>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</si>
  <si>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</si>
  <si>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</si>
  <si>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</si>
  <si>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</si>
  <si>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</si>
  <si>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</si>
  <si>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</si>
  <si>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</si>
  <si>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</si>
  <si>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</si>
  <si>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</si>
  <si>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</si>
  <si>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</si>
  <si>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</si>
  <si>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</si>
  <si>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</si>
  <si>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</si>
  <si>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</si>
  <si>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</si>
  <si>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</si>
  <si>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</si>
  <si>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</si>
  <si>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</si>
  <si>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</si>
  <si>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</si>
  <si>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</si>
  <si>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</si>
  <si>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</si>
  <si>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</si>
  <si>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</si>
  <si>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</si>
  <si>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</si>
  <si>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</si>
  <si>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</si>
  <si>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</si>
  <si>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</si>
  <si>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</si>
  <si>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</si>
  <si>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</si>
  <si>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</si>
  <si>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</si>
  <si>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</si>
  <si>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</si>
  <si>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</si>
  <si>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</si>
  <si>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</si>
  <si>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</si>
  <si>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</si>
  <si>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</si>
  <si>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</si>
  <si>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</si>
  <si>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</si>
  <si>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</si>
  <si>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</si>
  <si>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</si>
  <si>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</si>
  <si>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</si>
  <si>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</si>
  <si>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</si>
  <si>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</si>
  <si>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</si>
  <si>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</si>
  <si>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</si>
  <si>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</si>
  <si>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</si>
  <si>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</si>
  <si>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</si>
  <si>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</si>
  <si>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</si>
  <si>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</si>
  <si>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</si>
  <si>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</si>
  <si>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</si>
  <si>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</si>
  <si>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</si>
  <si>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</si>
  <si>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</si>
  <si>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</si>
  <si>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</si>
  <si>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</si>
  <si>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</si>
  <si>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</si>
  <si>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</si>
  <si>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</si>
  <si>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</si>
  <si>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</si>
  <si>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</si>
  <si>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</si>
  <si>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</si>
  <si>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</si>
  <si>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</si>
  <si>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</si>
  <si>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</si>
  <si>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</si>
  <si>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</si>
  <si>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</si>
  <si>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</si>
  <si>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</si>
  <si>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</si>
  <si>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</si>
  <si>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</si>
  <si>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</si>
  <si>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</si>
  <si>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</si>
  <si>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</si>
  <si>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</si>
  <si>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</si>
  <si>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</si>
  <si>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</si>
  <si>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</si>
  <si>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</si>
  <si>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</si>
  <si>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</si>
  <si>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</si>
  <si>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</si>
  <si>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</si>
  <si>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</si>
  <si>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</si>
  <si>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</si>
  <si>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</si>
  <si>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</si>
  <si>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</si>
  <si>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</si>
  <si>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</si>
  <si>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</si>
  <si>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</si>
  <si>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</si>
  <si>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</si>
  <si>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</si>
  <si>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</si>
  <si>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</si>
  <si>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</si>
  <si>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</si>
  <si>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</si>
  <si>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</si>
  <si>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</si>
  <si>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</si>
  <si>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</si>
  <si>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</si>
  <si>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</si>
  <si>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</si>
  <si>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</si>
  <si>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</si>
  <si>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</si>
  <si>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</si>
  <si>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</si>
  <si>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</si>
  <si>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</si>
  <si>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</si>
  <si>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</si>
  <si>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</si>
  <si>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</si>
  <si>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</si>
  <si>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</si>
  <si>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</si>
  <si>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</si>
  <si>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</si>
  <si>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</si>
  <si>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</si>
  <si>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</si>
  <si>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</si>
  <si>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</si>
  <si>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</si>
  <si>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</si>
  <si>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</si>
  <si>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</si>
  <si>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</si>
  <si>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</si>
  <si>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</si>
  <si>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</si>
  <si>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</si>
  <si>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</si>
  <si>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</si>
  <si>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</si>
  <si>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</si>
  <si>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</si>
  <si>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</si>
  <si>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</si>
  <si>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</si>
  <si>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</si>
  <si>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</si>
  <si>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</si>
  <si>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</si>
  <si>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</si>
  <si>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</si>
  <si>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</si>
  <si>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</si>
  <si>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</si>
  <si>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</si>
  <si>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</si>
  <si>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</si>
  <si>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</si>
  <si>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</si>
  <si>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</si>
  <si>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</si>
  <si>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</si>
  <si>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</si>
  <si>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</si>
  <si>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</si>
  <si>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</si>
  <si>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</si>
  <si>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</si>
  <si>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</si>
  <si>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</si>
  <si>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</si>
  <si>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</si>
  <si>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</si>
  <si>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</si>
  <si>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</si>
  <si>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</si>
  <si>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</si>
  <si>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</si>
  <si>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</si>
  <si>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</si>
  <si>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</si>
  <si>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</si>
  <si>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</si>
  <si>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</si>
  <si>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</si>
  <si>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</si>
  <si>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</si>
  <si>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</si>
  <si>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</si>
  <si>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</si>
  <si>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</si>
  <si>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</si>
  <si>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</si>
  <si>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</si>
  <si>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</si>
  <si>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</si>
  <si>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</si>
  <si>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</si>
  <si>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</si>
  <si>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</si>
  <si>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</si>
  <si>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</si>
  <si>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</si>
  <si>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</si>
  <si>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</si>
  <si>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</si>
  <si>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</si>
  <si>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</si>
  <si>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</si>
  <si>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</si>
  <si>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</si>
  <si>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</si>
  <si>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</si>
  <si>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</si>
  <si>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</si>
  <si>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</si>
  <si>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</si>
  <si>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</si>
  <si>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</si>
  <si>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</si>
  <si>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</si>
  <si>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</si>
  <si>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</si>
  <si>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</si>
  <si>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</si>
  <si>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</si>
  <si>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</si>
  <si>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</si>
  <si>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</si>
  <si>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</si>
  <si>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</si>
  <si>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</si>
  <si>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</si>
  <si>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</si>
  <si>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</si>
  <si>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</si>
  <si>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</si>
  <si>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</si>
  <si>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</si>
  <si>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</si>
  <si>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</si>
  <si>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</si>
  <si>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</si>
  <si>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</si>
  <si>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</si>
  <si>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</si>
  <si>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</si>
  <si>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</si>
  <si>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</si>
  <si>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</si>
  <si>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</si>
  <si>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</si>
  <si>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</si>
  <si>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</si>
  <si>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</si>
  <si>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</si>
  <si>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</si>
  <si>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</si>
  <si>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</si>
  <si>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</si>
  <si>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</si>
  <si>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</si>
  <si>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</si>
  <si>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</si>
  <si>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</si>
  <si>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</si>
  <si>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</si>
  <si>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</si>
  <si>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</si>
  <si>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</si>
  <si>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</si>
  <si>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</si>
  <si>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</si>
  <si>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</si>
  <si>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</si>
  <si>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</si>
  <si>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</si>
  <si>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</si>
  <si>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</si>
  <si>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</si>
  <si>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</si>
  <si>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</si>
  <si>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</si>
  <si>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</si>
  <si>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</si>
  <si>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</si>
  <si>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</si>
  <si>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</si>
  <si>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</si>
  <si>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</si>
  <si>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</si>
  <si>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</si>
  <si>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</si>
  <si>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</si>
  <si>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</si>
  <si>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</si>
  <si>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</si>
  <si>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</si>
  <si>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</si>
  <si>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</si>
  <si>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</si>
  <si>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</si>
  <si>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</si>
  <si>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</si>
  <si>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</si>
  <si>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</si>
  <si>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</si>
  <si>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</si>
  <si>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</si>
  <si>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</si>
  <si>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</si>
  <si>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</si>
  <si>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</si>
  <si>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</si>
  <si>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</si>
  <si>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</si>
  <si>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</si>
  <si>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</si>
  <si>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</si>
  <si>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</si>
  <si>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</si>
  <si>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</si>
  <si>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</si>
  <si>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</si>
  <si>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</si>
  <si>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</si>
  <si>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</si>
  <si>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</si>
  <si>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</si>
  <si>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</si>
  <si>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</si>
  <si>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</si>
  <si>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</si>
  <si>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</si>
  <si>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</si>
  <si>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</si>
  <si>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</si>
  <si>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</si>
  <si>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</si>
  <si>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</si>
  <si>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</si>
  <si>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</si>
  <si>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</si>
  <si>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</si>
  <si>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</si>
  <si>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</si>
  <si>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</si>
  <si>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</si>
  <si>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</si>
  <si>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</si>
  <si>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</si>
  <si>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</si>
  <si>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</si>
  <si>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</si>
  <si>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</si>
  <si>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</si>
  <si>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</si>
  <si>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</si>
  <si>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</si>
  <si>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</si>
  <si>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</si>
  <si>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</si>
  <si>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</si>
  <si>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</si>
  <si>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</si>
  <si>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</si>
  <si>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</si>
  <si>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</si>
  <si>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</si>
  <si>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</si>
  <si>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</si>
  <si>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</si>
  <si>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</si>
  <si>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</si>
  <si>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</si>
  <si>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</si>
  <si>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</si>
  <si>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</si>
  <si>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</si>
  <si>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</si>
  <si>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</si>
  <si>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</si>
  <si>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</si>
  <si>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</si>
  <si>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</si>
  <si>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</si>
  <si>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</si>
  <si>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</si>
  <si>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</si>
  <si>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</si>
  <si>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</si>
  <si>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</si>
  <si>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</si>
  <si>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</si>
  <si>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</si>
  <si>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</si>
  <si>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</si>
  <si>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</si>
  <si>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</si>
  <si>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</si>
  <si>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</si>
  <si>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</si>
  <si>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</si>
  <si>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</si>
  <si>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</si>
  <si>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</si>
  <si>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</si>
  <si>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</si>
  <si>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</si>
  <si>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</si>
  <si>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</si>
  <si>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</si>
  <si>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</si>
  <si>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</si>
  <si>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</si>
  <si>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</si>
  <si>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</si>
  <si>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</si>
  <si>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</si>
  <si>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</si>
  <si>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</si>
  <si>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</si>
  <si>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</si>
  <si>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</si>
  <si>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</si>
  <si>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</si>
  <si>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</si>
  <si>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</si>
  <si>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</si>
  <si>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</si>
  <si>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</si>
  <si>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</si>
  <si>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</si>
  <si>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</si>
  <si>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</si>
  <si>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</si>
  <si>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</si>
  <si>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</si>
  <si>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</si>
  <si>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</si>
  <si>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</si>
  <si>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</si>
  <si>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</si>
  <si>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</si>
  <si>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</si>
  <si>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</si>
  <si>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</si>
  <si>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</si>
  <si>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</si>
  <si>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</si>
  <si>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</si>
  <si>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</si>
  <si>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</si>
  <si>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</si>
  <si>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</si>
  <si>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</si>
  <si>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</si>
  <si>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</si>
  <si>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</si>
  <si>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</si>
  <si>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</si>
  <si>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</si>
  <si>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</si>
  <si>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</si>
  <si>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</si>
  <si>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</si>
  <si>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</si>
  <si>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</si>
  <si>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</si>
  <si>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</si>
  <si>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</si>
  <si>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</si>
  <si>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</si>
  <si>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</si>
  <si>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</si>
  <si>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</si>
  <si>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</si>
  <si>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</si>
  <si>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</si>
  <si>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</si>
  <si>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</si>
  <si>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</si>
  <si>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</si>
  <si>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</si>
  <si>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</si>
  <si>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</si>
  <si>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</si>
  <si>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</si>
  <si>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</si>
  <si>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</si>
  <si>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</si>
  <si>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</si>
  <si>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</si>
  <si>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</si>
  <si>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</si>
  <si>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</si>
  <si>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</si>
  <si>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</si>
  <si>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</si>
  <si>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</si>
  <si>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</si>
  <si>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</si>
  <si>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</si>
  <si>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</si>
  <si>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</si>
  <si>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</si>
  <si>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</si>
  <si>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</si>
  <si>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</si>
  <si>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</si>
  <si>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</si>
  <si>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</si>
  <si>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</si>
  <si>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</si>
  <si>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</si>
  <si>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</si>
  <si>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</si>
  <si>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</si>
  <si>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</si>
  <si>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</si>
  <si>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</si>
  <si>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</si>
  <si>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</si>
  <si>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</si>
  <si>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</si>
  <si>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</si>
  <si>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</si>
  <si>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</si>
  <si>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</si>
  <si>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</si>
  <si>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</si>
  <si>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</si>
  <si>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</si>
  <si>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</si>
  <si>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</si>
  <si>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</si>
  <si>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</si>
  <si>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</si>
  <si>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</si>
  <si>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</si>
  <si>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</si>
  <si>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</si>
  <si>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</si>
  <si>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</si>
  <si>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</si>
  <si>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</si>
  <si>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</si>
  <si>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</si>
  <si>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</si>
  <si>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</si>
  <si>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</si>
  <si>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</si>
  <si>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</si>
  <si>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</si>
  <si>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</si>
  <si>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</si>
  <si>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</si>
  <si>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</si>
  <si>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</si>
  <si>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</si>
  <si>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</si>
  <si>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</si>
  <si>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</si>
  <si>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</si>
  <si>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</si>
  <si>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</si>
  <si>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</si>
  <si>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</si>
  <si>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</si>
  <si>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</si>
  <si>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</si>
  <si>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</si>
  <si>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</si>
  <si>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</si>
  <si>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</si>
  <si>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</si>
  <si>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</si>
  <si>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</si>
  <si>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</si>
  <si>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</si>
  <si>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</si>
  <si>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</si>
  <si>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</si>
  <si>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</si>
  <si>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</si>
  <si>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</si>
  <si>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</si>
  <si>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</si>
  <si>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</si>
  <si>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</si>
  <si>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</si>
  <si>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</si>
  <si>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</si>
  <si>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</si>
  <si>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</si>
  <si>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</si>
  <si>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</si>
  <si>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</si>
  <si>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</si>
  <si>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</si>
  <si>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</si>
  <si>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</si>
  <si>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</si>
  <si>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</si>
  <si>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</si>
  <si>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</si>
  <si>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</si>
  <si>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</si>
  <si>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</si>
  <si>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</si>
  <si>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</si>
  <si>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</si>
  <si>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</si>
  <si>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</si>
  <si>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</si>
  <si>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</si>
  <si>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</si>
  <si>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</si>
  <si>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</si>
  <si>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</si>
  <si>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</si>
  <si>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</si>
  <si>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</si>
  <si>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</si>
  <si>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</si>
  <si>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</si>
  <si>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</si>
  <si>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</si>
  <si>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</si>
  <si>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</si>
  <si>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</si>
  <si>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</si>
  <si>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</si>
  <si>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</si>
  <si>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</si>
  <si>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</si>
  <si>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</si>
  <si>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</si>
  <si>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</si>
  <si>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</si>
  <si>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</si>
  <si>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</si>
  <si>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</si>
  <si>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</si>
  <si>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</si>
  <si>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</si>
  <si>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</si>
  <si>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</si>
  <si>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</si>
  <si>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</si>
  <si>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</si>
  <si>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</si>
  <si>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</si>
  <si>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</si>
  <si>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</si>
  <si>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</si>
  <si>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</si>
  <si>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</si>
  <si>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</si>
  <si>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</si>
  <si>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</si>
  <si>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</si>
  <si>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</si>
  <si>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</si>
  <si>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</si>
  <si>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</si>
  <si>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</si>
  <si>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</si>
  <si>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</si>
  <si>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</si>
  <si>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</si>
  <si>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</si>
  <si>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</si>
  <si>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</si>
  <si>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</si>
  <si>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</si>
  <si>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</si>
  <si>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</si>
  <si>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</si>
  <si>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</si>
  <si>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</si>
  <si>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</si>
  <si>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</si>
  <si>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</si>
  <si>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</si>
  <si>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</si>
  <si>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</si>
  <si>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</si>
  <si>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</si>
  <si>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</si>
  <si>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</si>
  <si>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</si>
  <si>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</si>
  <si>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</si>
  <si>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</si>
  <si>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</si>
  <si>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</si>
  <si>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</si>
  <si>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</si>
  <si>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</si>
  <si>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</si>
  <si>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</si>
  <si>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</si>
  <si>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</si>
  <si>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</si>
  <si>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</si>
  <si>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</si>
  <si>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</si>
  <si>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</si>
  <si>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</si>
  <si>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</si>
  <si>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</si>
  <si>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</si>
  <si>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</si>
  <si>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</si>
  <si>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</si>
  <si>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</si>
  <si>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</si>
  <si>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</si>
  <si>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</si>
  <si>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</si>
  <si>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</si>
  <si>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</si>
  <si>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</si>
  <si>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</si>
  <si>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</si>
  <si>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</si>
  <si>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</si>
  <si>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</si>
  <si>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</si>
  <si>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</si>
  <si>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</si>
  <si>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</si>
  <si>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</si>
  <si>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</si>
  <si>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</si>
  <si>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</si>
  <si>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</si>
  <si>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</si>
  <si>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</si>
  <si>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</si>
  <si>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</si>
  <si>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</si>
  <si>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</si>
  <si>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</si>
  <si>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</si>
  <si>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</si>
  <si>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</si>
  <si>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</si>
  <si>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</si>
  <si>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</si>
  <si>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</si>
  <si>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</si>
  <si>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</si>
  <si>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</si>
  <si>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</si>
  <si>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</si>
  <si>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</si>
  <si>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</si>
  <si>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</si>
  <si>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</si>
  <si>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</si>
  <si>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</si>
  <si>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</si>
  <si>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</si>
  <si>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</si>
  <si>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</si>
  <si>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</si>
  <si>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</si>
  <si>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</si>
  <si>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</si>
  <si>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</si>
  <si>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</si>
  <si>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</si>
  <si>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</si>
  <si>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</si>
  <si>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</si>
  <si>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</si>
  <si>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</si>
  <si>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</si>
  <si>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</si>
  <si>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</si>
  <si>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</si>
  <si>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</si>
  <si>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</si>
  <si>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</si>
  <si>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</si>
  <si>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</si>
  <si>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</si>
  <si>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</si>
  <si>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</si>
  <si>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</si>
  <si>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</si>
  <si>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</si>
  <si>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</si>
  <si>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</si>
  <si>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</si>
  <si>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</si>
  <si>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</si>
  <si>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</si>
  <si>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</si>
  <si>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</si>
  <si>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</si>
  <si>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</si>
  <si>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</si>
  <si>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</si>
  <si>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</si>
  <si>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</si>
  <si>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</si>
  <si>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</si>
  <si>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</si>
  <si>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</si>
  <si>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</si>
  <si>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</si>
  <si>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</si>
  <si>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</si>
  <si>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</si>
  <si>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</si>
  <si>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</si>
  <si>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</si>
  <si>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</si>
  <si>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</si>
  <si>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</si>
  <si>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</si>
  <si>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</si>
  <si>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</si>
  <si>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</si>
  <si>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</si>
  <si>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</si>
  <si>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</si>
  <si>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</si>
  <si>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</si>
  <si>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</si>
  <si>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</si>
  <si>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</si>
  <si>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</si>
  <si>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</si>
  <si>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</si>
  <si>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</si>
  <si>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</si>
  <si>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</si>
  <si>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</si>
  <si>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</si>
  <si>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</si>
  <si>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</si>
  <si>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</si>
  <si>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</si>
  <si>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</si>
  <si>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</si>
  <si>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</si>
  <si>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</si>
  <si>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</si>
  <si>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</si>
  <si>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</si>
  <si>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</si>
  <si>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</si>
  <si>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</si>
  <si>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</si>
  <si>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</si>
  <si>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</si>
  <si>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</si>
  <si>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</si>
  <si>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</si>
  <si>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</si>
  <si>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</si>
  <si>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</si>
  <si>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</si>
  <si>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</si>
  <si>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</si>
  <si>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</si>
  <si>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</si>
  <si>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</si>
  <si>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</si>
  <si>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</si>
  <si>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</si>
  <si>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</si>
  <si>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</si>
  <si>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</si>
  <si>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</si>
  <si>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</si>
  <si>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</si>
  <si>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</si>
  <si>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</si>
  <si>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</si>
  <si>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</si>
  <si>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</si>
  <si>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</si>
  <si>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</si>
  <si>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</si>
  <si>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</si>
  <si>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</si>
  <si>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</si>
  <si>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</si>
  <si>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</si>
  <si>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</si>
  <si>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</si>
  <si>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</si>
  <si>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</si>
  <si>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</si>
  <si>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</si>
  <si>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</si>
  <si>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</si>
  <si>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</si>
  <si>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</si>
  <si>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</si>
  <si>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</si>
  <si>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</si>
  <si>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</si>
  <si>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</si>
  <si>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</si>
  <si>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</si>
  <si>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</si>
  <si>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</si>
  <si>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</si>
  <si>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</si>
  <si>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</si>
  <si>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</si>
  <si>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</si>
  <si>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</si>
  <si>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</si>
  <si>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</si>
  <si>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</si>
  <si>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</si>
  <si>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</si>
  <si>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</si>
  <si>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</si>
  <si>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</si>
  <si>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</si>
  <si>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</si>
  <si>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</si>
  <si>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</si>
  <si>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</si>
  <si>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</si>
  <si>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</si>
  <si>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</si>
  <si>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</si>
  <si>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</si>
  <si>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</si>
  <si>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</si>
  <si>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</si>
  <si>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</si>
  <si>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</si>
  <si>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</si>
  <si>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</si>
  <si>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</si>
  <si>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</si>
  <si>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</si>
  <si>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</si>
  <si>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</si>
  <si>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</si>
  <si>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</si>
  <si>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</si>
  <si>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</si>
  <si>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</si>
  <si>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</si>
  <si>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</si>
  <si>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</si>
  <si>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</si>
  <si>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</si>
  <si>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</si>
  <si>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</si>
  <si>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</si>
  <si>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</si>
  <si>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</si>
  <si>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</si>
  <si>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</si>
  <si>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</si>
  <si>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</si>
  <si>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</si>
  <si>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</si>
  <si>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</si>
  <si>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</si>
  <si>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</si>
  <si>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</si>
  <si>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</si>
  <si>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</si>
  <si>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</si>
  <si>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</si>
  <si>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</si>
  <si>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</si>
  <si>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</si>
  <si>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</si>
  <si>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</si>
  <si>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</si>
  <si>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</si>
  <si>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</si>
  <si>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</si>
  <si>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</si>
  <si>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</si>
  <si>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</si>
  <si>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</si>
  <si>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</si>
  <si>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</si>
  <si>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</si>
  <si>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</si>
  <si>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</si>
  <si>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</si>
  <si>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</si>
  <si>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</si>
  <si>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</si>
  <si>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</si>
  <si>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</si>
  <si>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</si>
  <si>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</si>
  <si>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</si>
  <si>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</si>
  <si>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</si>
  <si>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</si>
  <si>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</si>
  <si>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</si>
  <si>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</si>
  <si>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</si>
  <si>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</si>
  <si>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</si>
  <si>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</si>
  <si>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</si>
  <si>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</si>
  <si>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</si>
  <si>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</si>
  <si>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</si>
  <si>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</si>
  <si>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</si>
  <si>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</si>
  <si>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</si>
  <si>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</si>
  <si>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</si>
  <si>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</si>
  <si>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</si>
  <si>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</si>
  <si>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</si>
  <si>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</si>
  <si>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</si>
  <si>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</si>
  <si>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</si>
  <si>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</si>
  <si>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</si>
  <si>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</si>
  <si>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</si>
  <si>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</si>
  <si>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</si>
  <si>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</si>
  <si>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</si>
  <si>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</si>
  <si>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</si>
  <si>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</si>
  <si>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</si>
  <si>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</si>
  <si>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</si>
  <si>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</si>
  <si>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</si>
  <si>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</si>
  <si>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</si>
  <si>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</si>
  <si>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</si>
  <si>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</si>
  <si>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</si>
  <si>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</si>
  <si>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</si>
  <si>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</si>
  <si>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</si>
  <si>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</si>
  <si>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</si>
  <si>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</si>
  <si>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</si>
  <si>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</si>
  <si>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</si>
  <si>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</si>
  <si>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</si>
  <si>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</si>
  <si>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</si>
  <si>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</si>
  <si>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</si>
  <si>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</si>
  <si>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</si>
  <si>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</si>
  <si>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</si>
  <si>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</si>
  <si>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</si>
  <si>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</si>
  <si>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</si>
  <si>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</si>
  <si>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</si>
  <si>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</si>
  <si>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</si>
  <si>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</si>
  <si>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</si>
  <si>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</si>
  <si>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</si>
  <si>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</si>
  <si>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</si>
  <si>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</si>
  <si>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</si>
  <si>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</si>
  <si>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</si>
  <si>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</si>
  <si>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</si>
  <si>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</si>
  <si>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</si>
  <si>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</si>
  <si>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</si>
  <si>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</si>
  <si>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</si>
  <si>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</si>
  <si>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</si>
  <si>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</si>
  <si>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</si>
  <si>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</si>
  <si>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</si>
  <si>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</si>
  <si>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</si>
  <si>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</si>
  <si>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</si>
  <si>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</si>
  <si>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</si>
  <si>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</si>
  <si>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</si>
  <si>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</si>
  <si>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</si>
  <si>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</si>
  <si>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</si>
  <si>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</si>
  <si>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</si>
  <si>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</si>
  <si>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</si>
  <si>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</si>
  <si>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</si>
  <si>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</si>
  <si>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</si>
  <si>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</si>
  <si>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</si>
  <si>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</si>
  <si>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</si>
  <si>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</si>
  <si>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</si>
  <si>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</si>
  <si>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</si>
  <si>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</si>
  <si>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</si>
  <si>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</si>
  <si>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</si>
  <si>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</si>
  <si>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</si>
  <si>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</si>
  <si>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</si>
  <si>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</si>
  <si>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</si>
  <si>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</si>
  <si>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</si>
  <si>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</si>
  <si>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</si>
  <si>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</si>
  <si>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</si>
  <si>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</si>
  <si>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</si>
  <si>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</si>
  <si>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</si>
  <si>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</si>
  <si>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</si>
  <si>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</si>
  <si>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</si>
  <si>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</si>
  <si>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</si>
  <si>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</si>
  <si>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</si>
  <si>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</si>
  <si>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</si>
  <si>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</si>
  <si>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</si>
  <si>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</si>
  <si>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</si>
  <si>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</si>
  <si>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</si>
  <si>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</si>
  <si>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</si>
  <si>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</si>
  <si>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</si>
  <si>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</si>
  <si>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</si>
  <si>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</si>
  <si>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</si>
  <si>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</si>
  <si>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</si>
  <si>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</si>
  <si>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</si>
  <si>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</si>
  <si>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</si>
  <si>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</si>
  <si>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</si>
  <si>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</si>
  <si>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</si>
  <si>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</si>
  <si>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</si>
  <si>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</si>
  <si>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</si>
  <si>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</si>
  <si>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</si>
  <si>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</si>
  <si>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</si>
  <si>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</si>
  <si>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</si>
  <si>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</si>
  <si>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</si>
  <si>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</si>
  <si>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</si>
  <si>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</si>
  <si>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</si>
  <si>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</si>
  <si>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</si>
  <si>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</si>
  <si>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</si>
  <si>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</si>
  <si>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</si>
  <si>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</si>
  <si>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</si>
  <si>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</si>
  <si>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</si>
  <si>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</si>
  <si>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</si>
  <si>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</si>
  <si>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</si>
  <si>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</si>
  <si>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</si>
  <si>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</si>
  <si>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</si>
  <si>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</si>
  <si>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</si>
  <si>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</si>
  <si>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</si>
  <si>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</si>
  <si>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</si>
  <si>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</si>
  <si>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</si>
  <si>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</si>
  <si>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</si>
  <si>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</si>
  <si>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</si>
  <si>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</si>
  <si>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</si>
  <si>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</si>
  <si>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</si>
  <si>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</si>
  <si>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</si>
  <si>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</si>
  <si>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</si>
  <si>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</si>
  <si>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</si>
  <si>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</si>
  <si>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</si>
  <si>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</si>
  <si>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</si>
  <si>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</si>
  <si>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</si>
  <si>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</si>
  <si>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</si>
  <si>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</si>
  <si>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</si>
  <si>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</si>
  <si>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</si>
  <si>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</si>
  <si>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</si>
  <si>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</si>
  <si>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</si>
  <si>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</si>
  <si>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</si>
  <si>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</si>
  <si>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</si>
  <si>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</si>
  <si>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</si>
  <si>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</si>
  <si>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</si>
  <si>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</si>
  <si>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</si>
  <si>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</si>
  <si>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</si>
  <si>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</si>
  <si>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</si>
  <si>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</si>
  <si>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</si>
  <si>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</si>
  <si>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</si>
  <si>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</si>
  <si>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</si>
  <si>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</si>
  <si>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</si>
  <si>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</si>
  <si>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</si>
  <si>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</si>
  <si>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</si>
  <si>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</si>
  <si>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</si>
  <si>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</si>
  <si>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</si>
  <si>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</si>
  <si>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</si>
  <si>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</si>
  <si>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</si>
  <si>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</si>
  <si>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</si>
  <si>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</si>
  <si>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</si>
  <si>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</si>
  <si>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</si>
  <si>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</si>
  <si>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</si>
  <si>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</si>
  <si>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</si>
  <si>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</si>
  <si>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</si>
  <si>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</si>
  <si>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</si>
  <si>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</si>
  <si>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</si>
  <si>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</si>
  <si>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</si>
  <si>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</si>
  <si>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</si>
  <si>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</si>
  <si>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</si>
  <si>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</si>
  <si>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</si>
  <si>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</si>
  <si>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</si>
  <si>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</si>
  <si>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</si>
  <si>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</si>
  <si>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</si>
  <si>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</si>
  <si>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</si>
  <si>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</si>
  <si>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</si>
  <si>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</si>
  <si>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</si>
  <si>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</si>
  <si>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</si>
  <si>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</si>
  <si>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</si>
  <si>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</si>
  <si>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</si>
  <si>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</si>
  <si>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</si>
  <si>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</si>
  <si>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</si>
  <si>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</si>
  <si>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</si>
  <si>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</si>
  <si>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</si>
  <si>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</si>
  <si>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</si>
  <si>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</si>
  <si>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</si>
  <si>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</si>
  <si>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</si>
  <si>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</si>
  <si>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</si>
  <si>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</si>
  <si>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</si>
  <si>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</si>
  <si>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</si>
  <si>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</si>
  <si>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</si>
  <si>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</si>
  <si>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</si>
  <si>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</si>
  <si>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</si>
  <si>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</si>
  <si>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</si>
  <si>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</si>
  <si>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</si>
  <si>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</si>
  <si>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</si>
  <si>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</si>
  <si>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</si>
  <si>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</si>
  <si>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</si>
  <si>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</si>
  <si>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</si>
  <si>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</si>
  <si>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</si>
  <si>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</si>
  <si>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</si>
  <si>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</si>
  <si>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</si>
  <si>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</si>
  <si>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</si>
  <si>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</si>
  <si>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</si>
  <si>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</si>
  <si>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</si>
  <si>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</si>
  <si>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</si>
  <si>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</si>
  <si>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</si>
  <si>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</si>
  <si>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</si>
  <si>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</si>
  <si>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</si>
  <si>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</si>
  <si>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</si>
  <si>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</si>
  <si>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</si>
  <si>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</si>
  <si>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</si>
  <si>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</si>
  <si>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</si>
  <si>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</si>
  <si>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</si>
  <si>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</si>
  <si>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</si>
  <si>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</si>
  <si>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</si>
  <si>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</si>
  <si>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</si>
  <si>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</si>
  <si>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</si>
  <si>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</si>
  <si>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</si>
  <si>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</si>
  <si>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</si>
  <si>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</si>
  <si>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</si>
  <si>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</si>
  <si>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</si>
  <si>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</si>
  <si>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</si>
  <si>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</si>
  <si>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</si>
  <si>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</si>
  <si>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</si>
  <si>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</si>
  <si>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</si>
  <si>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</si>
  <si>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</si>
  <si>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</si>
  <si>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</si>
  <si>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</si>
  <si>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</si>
  <si>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</si>
  <si>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</si>
  <si>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</si>
  <si>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</si>
  <si>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</si>
  <si>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</si>
  <si>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</si>
  <si>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</si>
  <si>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</si>
  <si>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</si>
  <si>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</si>
  <si>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</si>
  <si>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</si>
  <si>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</si>
  <si>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</si>
  <si>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</si>
  <si>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</si>
  <si>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</si>
  <si>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</si>
  <si>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</si>
  <si>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</si>
  <si>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</si>
  <si>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</si>
  <si>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</si>
  <si>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</si>
  <si>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</si>
  <si>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</si>
  <si>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</si>
  <si>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</si>
  <si>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</si>
  <si>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</si>
  <si>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</si>
  <si>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</si>
  <si>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</si>
  <si>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</si>
  <si>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</si>
  <si>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</si>
  <si>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</si>
  <si>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</si>
  <si>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</si>
  <si>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</si>
  <si>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</si>
  <si>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</si>
  <si>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</si>
  <si>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</si>
  <si>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</si>
  <si>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</si>
  <si>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</si>
  <si>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</si>
  <si>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</si>
  <si>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</si>
  <si>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</si>
  <si>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</si>
  <si>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</si>
  <si>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</si>
  <si>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</si>
  <si>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</si>
  <si>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</si>
  <si>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</si>
  <si>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</si>
  <si>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</si>
  <si>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</si>
  <si>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</si>
  <si>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</si>
  <si>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</si>
  <si>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</si>
  <si>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</si>
  <si>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</si>
  <si>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</si>
  <si>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</si>
  <si>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</si>
  <si>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</si>
  <si>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</si>
  <si>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</si>
  <si>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</si>
  <si>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</si>
  <si>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</si>
  <si>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</si>
  <si>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</si>
  <si>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</si>
  <si>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</si>
  <si>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</si>
  <si>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</si>
  <si>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</si>
  <si>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</si>
  <si>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</si>
  <si>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</si>
  <si>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</si>
  <si>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</si>
  <si>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</si>
  <si>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</si>
  <si>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</si>
  <si>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</si>
  <si>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</si>
  <si>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</si>
  <si>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</si>
  <si>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</si>
  <si>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</si>
  <si>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</si>
  <si>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</si>
  <si>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</si>
  <si>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</si>
  <si>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</si>
  <si>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</si>
  <si>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</si>
  <si>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</si>
  <si>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</si>
  <si>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</si>
  <si>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</si>
  <si>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</si>
  <si>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</si>
  <si>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</si>
  <si>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</si>
  <si>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</si>
  <si>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</si>
  <si>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</si>
  <si>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</si>
  <si>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</si>
  <si>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</si>
  <si>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</si>
  <si>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</si>
  <si>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</si>
  <si>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</si>
  <si>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</si>
  <si>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</si>
  <si>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</si>
  <si>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</si>
  <si>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</si>
  <si>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</si>
  <si>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</si>
  <si>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</si>
  <si>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</si>
  <si>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</si>
  <si>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</si>
  <si>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</si>
  <si>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</si>
  <si>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</si>
  <si>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</si>
  <si>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</si>
  <si>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</si>
  <si>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</si>
  <si>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</si>
  <si>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</si>
  <si>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</si>
  <si>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</si>
  <si>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</si>
  <si>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</si>
  <si>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</si>
  <si>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</si>
  <si>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</si>
  <si>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</si>
  <si>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</si>
  <si>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</si>
  <si>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</si>
  <si>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</si>
  <si>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</si>
  <si>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</si>
  <si>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</si>
  <si>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</si>
  <si>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</si>
  <si>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</si>
  <si>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</si>
  <si>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</si>
  <si>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</si>
  <si>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</si>
  <si>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</si>
  <si>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</si>
  <si>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</si>
  <si>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</si>
  <si>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</si>
  <si>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</si>
  <si>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</si>
  <si>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</si>
  <si>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</si>
  <si>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</si>
  <si>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</si>
  <si>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</si>
  <si>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</si>
  <si>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</si>
  <si>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</si>
  <si>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</si>
  <si>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</si>
  <si>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</si>
  <si>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</si>
  <si>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</si>
  <si>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</si>
  <si>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</si>
  <si>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</si>
  <si>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</si>
  <si>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</si>
  <si>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</si>
  <si>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</si>
  <si>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</si>
  <si>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</si>
  <si>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</si>
  <si>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</si>
  <si>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</si>
  <si>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</si>
  <si>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</si>
  <si>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</si>
  <si>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</si>
  <si>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</si>
  <si>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</si>
  <si>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</si>
  <si>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</si>
  <si>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</si>
  <si>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</si>
  <si>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</si>
  <si>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</si>
  <si>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</si>
  <si>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</si>
  <si>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</si>
  <si>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</si>
  <si>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</si>
  <si>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</si>
  <si>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</si>
  <si>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</si>
  <si>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</si>
  <si>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</si>
  <si>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</si>
  <si>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</si>
  <si>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</si>
  <si>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</si>
  <si>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</si>
  <si>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</si>
  <si>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</si>
  <si>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</si>
  <si>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</si>
  <si>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</si>
  <si>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</si>
  <si>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</si>
  <si>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</si>
  <si>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</si>
  <si>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</si>
  <si>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</si>
  <si>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</si>
  <si>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</si>
  <si>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</si>
  <si>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</si>
  <si>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</si>
  <si>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</si>
  <si>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</si>
  <si>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</si>
  <si>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</si>
  <si>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</si>
  <si>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</si>
  <si>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</si>
  <si>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</si>
  <si>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</si>
  <si>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</si>
  <si>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</si>
  <si>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</si>
  <si>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</si>
  <si>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</si>
  <si>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</si>
  <si>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</si>
  <si>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</si>
  <si>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</si>
  <si>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</si>
  <si>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</si>
  <si>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</si>
  <si>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</si>
  <si>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</si>
  <si>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</si>
  <si>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</si>
  <si>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</si>
  <si>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</si>
  <si>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</si>
  <si>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</si>
  <si>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</si>
  <si>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</si>
  <si>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</si>
  <si>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</si>
  <si>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</si>
  <si>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</si>
  <si>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</si>
  <si>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</si>
  <si>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</si>
  <si>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</si>
  <si>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</si>
  <si>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</si>
  <si>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</si>
  <si>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</si>
  <si>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</si>
  <si>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</si>
  <si>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</si>
  <si>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</si>
  <si>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</si>
  <si>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</si>
  <si>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</si>
  <si>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</si>
  <si>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</si>
  <si>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</si>
  <si>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</si>
  <si>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</si>
  <si>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</si>
  <si>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</si>
  <si>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</si>
  <si>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</si>
  <si>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</si>
  <si>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</si>
  <si>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</si>
  <si>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</si>
  <si>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</si>
  <si>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</si>
  <si>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</si>
  <si>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</si>
  <si>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</si>
  <si>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</si>
  <si>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</si>
  <si>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</si>
  <si>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</si>
  <si>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</si>
  <si>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</si>
  <si>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</si>
  <si>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</si>
  <si>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</si>
  <si>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</si>
  <si>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</si>
  <si>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</si>
  <si>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</si>
  <si>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</si>
  <si>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</si>
  <si>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</si>
  <si>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</si>
  <si>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</si>
  <si>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</si>
  <si>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</si>
  <si>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</si>
  <si>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</si>
  <si>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</si>
  <si>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</si>
  <si>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</si>
  <si>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</si>
  <si>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</si>
  <si>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</si>
  <si>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</si>
  <si>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</si>
  <si>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</si>
  <si>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</si>
  <si>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</si>
  <si>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</si>
  <si>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</si>
  <si>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</si>
  <si>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</si>
  <si>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</si>
  <si>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</si>
  <si>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</si>
  <si>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</si>
  <si>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</si>
  <si>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</si>
  <si>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</si>
  <si>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</si>
  <si>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</si>
  <si>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</si>
  <si>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</si>
  <si>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</si>
  <si>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</si>
  <si>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</si>
  <si>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</si>
  <si>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</si>
  <si>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</si>
  <si>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</si>
  <si>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</si>
  <si>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</si>
  <si>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</si>
  <si>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</si>
  <si>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</si>
  <si>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</si>
  <si>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</si>
  <si>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</si>
  <si>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</si>
  <si>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</si>
  <si>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</si>
  <si>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</si>
  <si>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</si>
  <si>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</si>
  <si>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</si>
  <si>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</si>
  <si>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</si>
  <si>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</si>
  <si>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</si>
  <si>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</si>
  <si>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</si>
  <si>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</si>
  <si>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</si>
  <si>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</si>
  <si>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</si>
  <si>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</si>
  <si>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</si>
  <si>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</si>
  <si>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</si>
  <si>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</si>
  <si>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</si>
  <si>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</si>
  <si>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</si>
  <si>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</si>
  <si>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</si>
  <si>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</si>
  <si>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</si>
  <si>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</si>
  <si>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</si>
  <si>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</si>
  <si>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</si>
  <si>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</si>
  <si>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</si>
  <si>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</si>
  <si>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</si>
  <si>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</si>
  <si>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</si>
  <si>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</si>
  <si>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</si>
  <si>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</si>
  <si>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</si>
  <si>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</si>
  <si>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</si>
  <si>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</si>
  <si>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</si>
  <si>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</si>
  <si>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</si>
  <si>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</si>
  <si>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</si>
  <si>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</si>
  <si>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</si>
  <si>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</si>
  <si>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</si>
  <si>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</si>
  <si>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</si>
  <si>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</si>
  <si>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</si>
  <si>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</si>
  <si>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</si>
  <si>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</si>
  <si>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</si>
  <si>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</si>
  <si>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</si>
  <si>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</si>
  <si>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</si>
  <si>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</si>
  <si>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</si>
  <si>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</si>
  <si>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</si>
  <si>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</si>
  <si>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</si>
  <si>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</si>
  <si>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</si>
  <si>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</si>
  <si>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</si>
  <si>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</si>
  <si>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</si>
  <si>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</si>
  <si>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</si>
  <si>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</si>
  <si>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</si>
  <si>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</si>
  <si>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</si>
  <si>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</si>
  <si>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</si>
  <si>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</si>
  <si>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</si>
  <si>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</si>
  <si>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</si>
  <si>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</si>
  <si>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</si>
  <si>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</si>
  <si>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</si>
  <si>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</si>
  <si>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</si>
  <si>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</si>
  <si>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</si>
  <si>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</si>
  <si>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</si>
  <si>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</si>
  <si>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</si>
  <si>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</si>
  <si>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</si>
  <si>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</si>
  <si>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</si>
  <si>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</si>
  <si>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</si>
  <si>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</si>
  <si>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</si>
  <si>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</si>
  <si>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</si>
  <si>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</si>
  <si>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</si>
  <si>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</si>
  <si>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</si>
  <si>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</si>
  <si>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</si>
  <si>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</si>
  <si>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</si>
  <si>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</si>
  <si>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</si>
  <si>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</si>
  <si>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</si>
  <si>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</si>
  <si>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</si>
  <si>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</si>
  <si>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</si>
  <si>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</si>
  <si>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</si>
  <si>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</si>
  <si>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</si>
  <si>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</si>
  <si>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</si>
  <si>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</si>
  <si>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</si>
  <si>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</si>
  <si>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</si>
  <si>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</si>
  <si>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</si>
  <si>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</si>
  <si>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</si>
  <si>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</si>
  <si>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</si>
  <si>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</si>
  <si>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</si>
  <si>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</si>
  <si>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</si>
  <si>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</si>
  <si>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</si>
  <si>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</si>
  <si>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</si>
  <si>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</si>
  <si>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</si>
  <si>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</si>
  <si>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</si>
  <si>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</si>
  <si>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</si>
  <si>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</si>
  <si>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</si>
  <si>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</si>
  <si>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</si>
  <si>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</si>
  <si>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</si>
  <si>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</si>
  <si>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</si>
  <si>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</si>
  <si>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</si>
  <si>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</si>
  <si>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</si>
  <si>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</si>
  <si>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</si>
  <si>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</si>
  <si>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</si>
  <si>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</si>
  <si>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</si>
  <si>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</si>
  <si>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</si>
  <si>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</si>
  <si>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</si>
  <si>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</si>
  <si>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</si>
  <si>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</si>
  <si>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</si>
  <si>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</si>
  <si>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</si>
  <si>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</si>
  <si>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</si>
  <si>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</si>
  <si>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</si>
  <si>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</si>
  <si>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</si>
  <si>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</si>
  <si>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</si>
  <si>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</si>
  <si>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</si>
  <si>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</si>
  <si>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</si>
  <si>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</si>
  <si>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</si>
  <si>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</si>
  <si>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</si>
  <si>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</si>
  <si>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</si>
  <si>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</si>
  <si>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</si>
  <si>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</si>
  <si>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</si>
  <si>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</si>
  <si>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</si>
  <si>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</si>
  <si>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</si>
  <si>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</si>
  <si>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</si>
  <si>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</si>
  <si>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</si>
  <si>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</si>
  <si>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</si>
  <si>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</si>
  <si>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</si>
  <si>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</si>
  <si>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</si>
  <si>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</si>
  <si>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</si>
  <si>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</si>
  <si>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</si>
  <si>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</si>
  <si>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</si>
  <si>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</si>
  <si>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</si>
  <si>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</si>
  <si>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</si>
  <si>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</si>
  <si>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</si>
  <si>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</si>
  <si>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</si>
  <si>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</si>
  <si>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</si>
  <si>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</si>
  <si>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</si>
  <si>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</si>
  <si>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</si>
  <si>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</si>
  <si>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</si>
  <si>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</si>
  <si>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</si>
  <si>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</si>
  <si>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</si>
  <si>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</si>
  <si>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</si>
  <si>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</si>
  <si>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</si>
  <si>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</si>
  <si>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</si>
  <si>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</si>
  <si>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</si>
  <si>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</si>
  <si>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</si>
  <si>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</si>
  <si>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</si>
  <si>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</si>
  <si>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</si>
  <si>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</si>
  <si>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</si>
  <si>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</si>
  <si>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</si>
  <si>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</si>
  <si>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</si>
  <si>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</si>
  <si>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</si>
  <si>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</si>
  <si>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</si>
  <si>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</si>
  <si>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</si>
  <si>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</si>
  <si>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</si>
  <si>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</si>
  <si>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</si>
  <si>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</si>
  <si>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</si>
  <si>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</si>
  <si>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</si>
  <si>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</si>
  <si>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</si>
  <si>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</si>
  <si>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</si>
  <si>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</si>
  <si>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</si>
  <si>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</si>
  <si>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</si>
  <si>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</si>
  <si>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</si>
  <si>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</si>
  <si>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</si>
  <si>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</si>
  <si>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</si>
  <si>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</si>
  <si>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</si>
  <si>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</si>
  <si>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</si>
  <si>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</si>
  <si>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</si>
  <si>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</si>
  <si>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</si>
  <si>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</si>
  <si>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</si>
  <si>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</si>
  <si>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</si>
  <si>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</si>
  <si>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</si>
  <si>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</si>
  <si>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</si>
  <si>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</si>
  <si>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</si>
  <si>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</si>
  <si>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</si>
  <si>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</si>
  <si>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</si>
  <si>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</si>
  <si>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</si>
  <si>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</si>
  <si>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</si>
  <si>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</si>
  <si>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</si>
  <si>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</si>
  <si>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</si>
  <si>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</si>
  <si>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</si>
  <si>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</si>
  <si>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</si>
  <si>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</si>
  <si>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</si>
  <si>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</si>
  <si>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</si>
  <si>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</si>
  <si>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</si>
  <si>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</si>
  <si>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</si>
  <si>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</si>
  <si>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</si>
  <si>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</si>
  <si>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</si>
  <si>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</si>
  <si>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</si>
  <si>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</si>
  <si>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</si>
  <si>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</si>
  <si>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</si>
  <si>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</si>
  <si>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</si>
  <si>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</si>
  <si>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</si>
  <si>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</si>
  <si>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</si>
  <si>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</si>
  <si>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</si>
  <si>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</si>
  <si>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</si>
  <si>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</si>
  <si>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</si>
  <si>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</si>
  <si>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</si>
  <si>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</si>
  <si>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</si>
  <si>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</si>
  <si>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</si>
  <si>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</si>
  <si>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</si>
  <si>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</si>
  <si>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</si>
  <si>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</si>
  <si>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</si>
  <si>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</si>
  <si>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</si>
  <si>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</si>
  <si>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</si>
  <si>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</si>
  <si>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</si>
  <si>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</si>
  <si>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</si>
  <si>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</si>
  <si>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</si>
  <si>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</si>
  <si>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</si>
  <si>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</si>
  <si>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</si>
  <si>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</si>
  <si>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</si>
  <si>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</si>
  <si>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</si>
  <si>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</si>
  <si>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</si>
  <si>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</si>
  <si>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</si>
  <si>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</si>
  <si>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</si>
  <si>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</si>
  <si>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</si>
  <si>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</si>
  <si>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</si>
  <si>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</si>
  <si>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</si>
  <si>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</si>
  <si>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</si>
  <si>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</si>
  <si>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</si>
  <si>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</si>
  <si>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</si>
  <si>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</si>
  <si>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</si>
  <si>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</si>
  <si>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</si>
  <si>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</si>
  <si>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</si>
  <si>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</si>
  <si>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</si>
  <si>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</si>
  <si>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</si>
  <si>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</si>
  <si>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</si>
  <si>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</si>
  <si>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</si>
  <si>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</si>
  <si>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</si>
  <si>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</si>
  <si>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</si>
  <si>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</si>
  <si>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</si>
  <si>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</si>
  <si>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</si>
  <si>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</si>
  <si>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</si>
  <si>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</si>
  <si>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</si>
  <si>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</si>
  <si>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</si>
  <si>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</si>
  <si>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</si>
  <si>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</si>
  <si>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</si>
  <si>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</si>
  <si>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</si>
  <si>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</si>
  <si>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</si>
  <si>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</si>
  <si>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</si>
  <si>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</si>
  <si>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</si>
  <si>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</si>
  <si>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</si>
  <si>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</si>
  <si>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</si>
  <si>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</si>
  <si>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</si>
  <si>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</si>
  <si>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</si>
  <si>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</si>
  <si>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</si>
  <si>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</si>
  <si>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</si>
  <si>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</si>
  <si>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</si>
  <si>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</si>
  <si>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</si>
  <si>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</si>
  <si>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</si>
  <si>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</si>
  <si>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</si>
  <si>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</si>
  <si>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</si>
  <si>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</si>
  <si>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</si>
  <si>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</si>
  <si>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</si>
  <si>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</si>
  <si>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</si>
  <si>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</si>
  <si>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</si>
  <si>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</si>
  <si>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</si>
  <si>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</si>
  <si>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</si>
  <si>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</si>
  <si>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</si>
  <si>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</si>
  <si>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</si>
  <si>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</si>
  <si>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</si>
  <si>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</si>
  <si>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</si>
  <si>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</si>
  <si>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</si>
  <si>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</si>
  <si>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</si>
  <si>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</si>
  <si>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</si>
  <si>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</si>
  <si>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</si>
  <si>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</si>
  <si>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</si>
  <si>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</si>
  <si>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</si>
  <si>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</si>
  <si>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</si>
  <si>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</si>
  <si>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</si>
  <si>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</si>
  <si>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</si>
  <si>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</si>
  <si>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</si>
  <si>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</si>
  <si>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</si>
  <si>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</si>
  <si>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</si>
  <si>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</si>
  <si>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</si>
  <si>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</si>
  <si>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</si>
  <si>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</si>
  <si>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</si>
  <si>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</si>
  <si>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</si>
  <si>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</si>
  <si>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</si>
  <si>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</si>
  <si>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</si>
  <si>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</si>
  <si>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</si>
  <si>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</si>
  <si>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</si>
  <si>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</si>
  <si>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</si>
  <si>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</si>
  <si>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</si>
  <si>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</si>
  <si>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</si>
  <si>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</si>
  <si>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</si>
  <si>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</si>
  <si>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</si>
  <si>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</si>
  <si>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</si>
  <si>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</si>
  <si>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</si>
  <si>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</si>
  <si>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</si>
  <si>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</si>
  <si>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</si>
  <si>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</si>
  <si>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</si>
  <si>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</si>
  <si>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</si>
  <si>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</si>
  <si>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</si>
  <si>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</si>
  <si>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</si>
  <si>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</si>
  <si>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</si>
  <si>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</si>
  <si>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</si>
  <si>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</si>
  <si>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</si>
  <si>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</si>
  <si>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</si>
  <si>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</si>
  <si>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</si>
  <si>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</si>
  <si>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</si>
  <si>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</si>
  <si>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</si>
  <si>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</si>
  <si>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</si>
  <si>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</si>
  <si>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</si>
  <si>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</si>
  <si>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</si>
  <si>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</si>
  <si>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</si>
  <si>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</si>
  <si>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</si>
  <si>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</si>
  <si>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</si>
  <si>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</si>
  <si>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</si>
  <si>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</si>
  <si>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</si>
  <si>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</si>
  <si>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</si>
  <si>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</si>
  <si>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</si>
  <si>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</si>
  <si>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</si>
  <si>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</si>
  <si>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</si>
  <si>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</si>
  <si>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</si>
  <si>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</si>
  <si>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</si>
  <si>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</si>
  <si>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</si>
  <si>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</si>
  <si>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</si>
  <si>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</si>
  <si>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</si>
  <si>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</si>
  <si>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</si>
  <si>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</si>
  <si>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</si>
  <si>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</si>
  <si>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</si>
  <si>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</si>
  <si>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</si>
  <si>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</si>
  <si>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</si>
  <si>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</si>
  <si>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</si>
  <si>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</si>
  <si>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</si>
  <si>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</si>
  <si>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</si>
  <si>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</si>
  <si>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</si>
  <si>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</si>
  <si>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</si>
  <si>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</si>
  <si>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</si>
  <si>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</si>
  <si>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</si>
  <si>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</si>
  <si>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</si>
  <si>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</si>
  <si>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</si>
  <si>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</si>
  <si>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</si>
  <si>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</si>
  <si>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</si>
  <si>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</si>
  <si>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</si>
  <si>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</si>
  <si>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</si>
  <si>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</si>
  <si>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</si>
  <si>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</si>
  <si>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</si>
  <si>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</si>
  <si>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</si>
  <si>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</si>
  <si>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</si>
  <si>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</si>
  <si>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</si>
  <si>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</si>
  <si>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</si>
  <si>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</si>
  <si>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</si>
  <si>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</si>
  <si>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</si>
  <si>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</si>
  <si>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</si>
  <si>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</si>
  <si>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</si>
  <si>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</si>
  <si>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</si>
  <si>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</si>
  <si>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</si>
  <si>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</si>
  <si>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</si>
  <si>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</si>
  <si>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</si>
  <si>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</si>
  <si>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</si>
  <si>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</si>
  <si>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</si>
  <si>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</si>
  <si>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</si>
  <si>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</si>
  <si>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</si>
  <si>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</si>
  <si>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</si>
  <si>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</si>
  <si>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</si>
  <si>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</si>
  <si>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</si>
  <si>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</si>
  <si>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</si>
  <si>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</si>
  <si>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</si>
  <si>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</si>
  <si>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</si>
  <si>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</si>
  <si>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</si>
  <si>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</si>
  <si>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</si>
  <si>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</si>
  <si>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</si>
  <si>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</si>
  <si>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</si>
  <si>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</si>
  <si>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</si>
  <si>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</si>
  <si>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</si>
  <si>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</si>
  <si>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</si>
  <si>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</si>
  <si>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</si>
  <si>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</si>
  <si>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</si>
  <si>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</si>
  <si>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</si>
  <si>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</si>
  <si>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</si>
  <si>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</si>
  <si>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</si>
  <si>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</si>
  <si>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</si>
  <si>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</si>
  <si>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</si>
  <si>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</si>
  <si>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</si>
  <si>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</si>
  <si>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</si>
  <si>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</si>
  <si>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</si>
  <si>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</si>
  <si>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</si>
  <si>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</si>
  <si>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</si>
  <si>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</si>
  <si>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</si>
  <si>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</si>
  <si>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</si>
  <si>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</si>
  <si>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</si>
  <si>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</si>
  <si>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</si>
  <si>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</si>
  <si>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</si>
  <si>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</si>
  <si>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</si>
  <si>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</si>
  <si>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</si>
  <si>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</si>
  <si>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</si>
  <si>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</si>
  <si>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</si>
  <si>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</si>
  <si>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</si>
  <si>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</si>
  <si>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</si>
  <si>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</si>
  <si>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</si>
  <si>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</si>
  <si>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</si>
  <si>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</si>
  <si>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</si>
  <si>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</si>
  <si>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</si>
  <si>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</si>
  <si>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</si>
  <si>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</si>
  <si>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</si>
  <si>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</si>
  <si>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</si>
  <si>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</si>
  <si>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</si>
  <si>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</si>
  <si>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</si>
  <si>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</si>
  <si>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</si>
  <si>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</si>
  <si>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</si>
  <si>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</si>
  <si>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</si>
  <si>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</si>
  <si>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</si>
  <si>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</si>
  <si>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</si>
  <si>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</si>
  <si>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</si>
  <si>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</si>
  <si>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</si>
  <si>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</si>
  <si>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</si>
  <si>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</si>
  <si>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</si>
  <si>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</si>
  <si>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</si>
  <si>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</si>
  <si>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</si>
  <si>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</si>
  <si>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</si>
  <si>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</si>
  <si>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</si>
  <si>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</si>
  <si>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</si>
  <si>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</si>
  <si>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</si>
  <si>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</si>
  <si>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</si>
  <si>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</si>
  <si>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</si>
  <si>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</si>
  <si>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</si>
  <si>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</si>
  <si>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</si>
  <si>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</si>
  <si>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</si>
  <si>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</si>
  <si>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</si>
  <si>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</si>
  <si>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</si>
  <si>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</si>
  <si>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</si>
  <si>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</si>
  <si>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</si>
  <si>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</si>
  <si>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</si>
  <si>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</si>
  <si>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</si>
  <si>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</si>
  <si>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</si>
  <si>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</si>
  <si>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</si>
  <si>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</si>
  <si>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</si>
  <si>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</si>
  <si>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</si>
  <si>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</si>
  <si>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</si>
  <si>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</si>
  <si>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</si>
  <si>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</si>
  <si>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</si>
  <si>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</si>
  <si>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</si>
  <si>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</si>
  <si>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</si>
  <si>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</si>
  <si>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</si>
  <si>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</si>
  <si>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</si>
  <si>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</si>
  <si>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</si>
  <si>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</si>
  <si>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</si>
  <si>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</si>
  <si>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</si>
  <si>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</si>
  <si>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</si>
  <si>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</si>
  <si>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</si>
  <si>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</si>
  <si>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</si>
  <si>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</si>
  <si>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</si>
  <si>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</si>
  <si>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</si>
  <si>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</si>
  <si>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</si>
  <si>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</si>
  <si>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</si>
  <si>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</si>
  <si>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</si>
  <si>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</si>
  <si>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</si>
  <si>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</si>
  <si>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</si>
  <si>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</si>
  <si>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</si>
  <si>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</si>
  <si>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</si>
  <si>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</si>
  <si>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</si>
  <si>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</si>
  <si>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</si>
  <si>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</si>
  <si>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</si>
  <si>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</si>
  <si>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</si>
  <si>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</si>
  <si>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</si>
  <si>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</si>
  <si>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</si>
  <si>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</si>
  <si>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</si>
  <si>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</si>
  <si>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</si>
  <si>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</si>
  <si>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</si>
  <si>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</si>
  <si>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</si>
  <si>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</si>
  <si>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</si>
  <si>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</si>
  <si>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</si>
  <si>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</si>
  <si>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</si>
  <si>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</si>
  <si>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</si>
  <si>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</si>
  <si>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</si>
  <si>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</si>
  <si>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</si>
  <si>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</si>
  <si>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</si>
  <si>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</si>
  <si>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</si>
  <si>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</si>
  <si>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</si>
  <si>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</si>
  <si>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</si>
  <si>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</si>
  <si>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</si>
  <si>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</si>
  <si>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</si>
  <si>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</si>
  <si>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</si>
  <si>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</si>
  <si>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</si>
  <si>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</si>
  <si>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</si>
  <si>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</si>
  <si>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</si>
  <si>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</si>
  <si>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</si>
  <si>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</si>
  <si>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</si>
  <si>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</si>
  <si>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</si>
  <si>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</si>
  <si>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</si>
  <si>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</si>
  <si>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</si>
  <si>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</si>
  <si>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</si>
  <si>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</si>
  <si>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</si>
  <si>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</si>
  <si>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</si>
  <si>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</si>
  <si>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</si>
  <si>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</si>
  <si>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</si>
  <si>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</si>
  <si>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</si>
  <si>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</si>
  <si>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</si>
  <si>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</si>
  <si>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</si>
  <si>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</si>
  <si>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</si>
  <si>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</si>
  <si>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</si>
  <si>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</si>
  <si>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</si>
  <si>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</si>
  <si>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</si>
  <si>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</si>
  <si>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</si>
  <si>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</si>
  <si>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</si>
  <si>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</si>
  <si>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</si>
  <si>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</si>
  <si>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</si>
  <si>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</si>
  <si>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</si>
  <si>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</si>
  <si>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</si>
  <si>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</si>
  <si>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</si>
  <si>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</si>
  <si>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</si>
  <si>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</si>
  <si>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</si>
  <si>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</si>
  <si>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</si>
  <si>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</si>
  <si>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</si>
  <si>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</si>
  <si>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</si>
  <si>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</si>
  <si>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</si>
  <si>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</si>
  <si>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</si>
  <si>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</si>
  <si>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</si>
  <si>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</si>
  <si>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</si>
  <si>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</si>
  <si>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</si>
  <si>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</si>
  <si>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</si>
  <si>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</si>
  <si>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</si>
  <si>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</si>
  <si>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</si>
  <si>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</si>
  <si>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</si>
  <si>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</si>
  <si>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</si>
  <si>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</si>
  <si>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</si>
  <si>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</si>
  <si>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</si>
  <si>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</si>
  <si>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</si>
  <si>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</si>
  <si>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</si>
  <si>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</si>
  <si>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</si>
  <si>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</si>
  <si>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</si>
  <si>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</si>
  <si>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</si>
  <si>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</si>
  <si>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</si>
  <si>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</si>
  <si>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</si>
  <si>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</si>
  <si>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</si>
  <si>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</si>
  <si>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</si>
  <si>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</si>
  <si>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</si>
  <si>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</si>
  <si>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</si>
  <si>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</si>
  <si>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</si>
  <si>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</si>
  <si>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</si>
  <si>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</si>
  <si>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</si>
  <si>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</si>
  <si>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</si>
  <si>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</si>
  <si>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</si>
  <si>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</si>
  <si>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</si>
  <si>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</si>
  <si>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</si>
  <si>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</si>
  <si>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</si>
  <si>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</si>
  <si>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</si>
  <si>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</si>
  <si>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</si>
  <si>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</si>
  <si>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</si>
  <si>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</si>
  <si>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</si>
  <si>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</si>
  <si>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</si>
  <si>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</si>
  <si>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</si>
  <si>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</si>
  <si>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</si>
  <si>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</si>
  <si>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</si>
  <si>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</si>
  <si>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</si>
  <si>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</si>
  <si>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</si>
  <si>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</si>
  <si>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</si>
  <si>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</si>
  <si>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</si>
  <si>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</si>
  <si>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</si>
  <si>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</si>
  <si>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</si>
  <si>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</si>
  <si>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</si>
  <si>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</si>
  <si>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</si>
  <si>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</si>
  <si>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</si>
  <si>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</si>
  <si>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</si>
  <si>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</si>
  <si>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</si>
  <si>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</si>
  <si>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</si>
  <si>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</si>
  <si>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</si>
  <si>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</si>
  <si>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</si>
  <si>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</si>
  <si>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</si>
  <si>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</si>
  <si>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</si>
  <si>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</si>
  <si>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</si>
  <si>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</si>
  <si>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</si>
  <si>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</si>
  <si>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</si>
  <si>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</si>
  <si>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</si>
  <si>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</si>
  <si>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</si>
  <si>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</si>
  <si>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</si>
  <si>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</si>
  <si>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</si>
  <si>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</si>
  <si>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</si>
  <si>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</si>
  <si>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</si>
  <si>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</si>
  <si>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</si>
  <si>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</si>
  <si>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</si>
  <si>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</si>
  <si>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</si>
  <si>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</si>
  <si>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</si>
  <si>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</si>
  <si>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</si>
  <si>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</si>
  <si>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</si>
  <si>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</si>
  <si>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</si>
  <si>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</si>
  <si>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</si>
  <si>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</si>
  <si>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</si>
  <si>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</si>
  <si>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</si>
  <si>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</si>
  <si>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</si>
  <si>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</si>
  <si>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</si>
  <si>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</si>
  <si>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</si>
  <si>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</si>
  <si>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</si>
  <si>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</si>
  <si>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</si>
  <si>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</si>
  <si>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</si>
  <si>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</si>
  <si>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</si>
  <si>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</si>
  <si>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</si>
  <si>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</si>
  <si>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</si>
  <si>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</si>
  <si>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</si>
  <si>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</si>
  <si>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</si>
  <si>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</si>
  <si>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</si>
  <si>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</si>
  <si>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</si>
  <si>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</si>
  <si>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</si>
  <si>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</si>
  <si>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</si>
  <si>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</si>
  <si>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</si>
  <si>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</si>
  <si>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</si>
  <si>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</si>
  <si>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</si>
  <si>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</si>
  <si>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</si>
  <si>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</si>
  <si>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</si>
  <si>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</si>
  <si>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</si>
  <si>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</si>
  <si>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</si>
  <si>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</si>
  <si>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</si>
  <si>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</si>
  <si>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</si>
  <si>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</si>
  <si>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</si>
  <si>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</si>
  <si>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</si>
  <si>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</si>
  <si>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</si>
  <si>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</si>
  <si>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</si>
  <si>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</si>
  <si>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</si>
  <si>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</si>
  <si>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</si>
  <si>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</si>
  <si>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</si>
  <si>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</si>
  <si>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</si>
  <si>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</si>
  <si>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</si>
  <si>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</si>
  <si>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</si>
  <si>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</si>
  <si>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</si>
  <si>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</si>
  <si>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</si>
  <si>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</si>
  <si>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</si>
  <si>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</si>
  <si>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</si>
  <si>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</si>
  <si>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</si>
  <si>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</si>
  <si>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</si>
  <si>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</si>
  <si>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</si>
  <si>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</si>
  <si>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</si>
  <si>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</si>
  <si>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</si>
  <si>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</si>
  <si>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</si>
  <si>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</si>
  <si>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</si>
  <si>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</si>
  <si>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</si>
  <si>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</si>
  <si>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</si>
  <si>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</si>
  <si>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</si>
  <si>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</si>
  <si>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</si>
  <si>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</si>
  <si>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</si>
  <si>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</si>
  <si>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</si>
  <si>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</si>
  <si>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</si>
  <si>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</si>
  <si>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</si>
  <si>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</si>
  <si>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</si>
  <si>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</si>
  <si>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</si>
  <si>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</si>
  <si>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</si>
  <si>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</si>
  <si>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</si>
  <si>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</si>
  <si>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</si>
  <si>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</si>
  <si>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</si>
  <si>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</si>
  <si>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</si>
  <si>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</si>
  <si>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</si>
  <si>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</si>
  <si>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</si>
  <si>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</si>
  <si>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</si>
  <si>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</si>
  <si>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</si>
  <si>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</si>
  <si>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</si>
  <si>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</si>
  <si>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</si>
  <si>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</si>
  <si>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</si>
  <si>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</si>
  <si>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</si>
  <si>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</si>
  <si>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</si>
  <si>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</si>
  <si>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</si>
  <si>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</si>
  <si>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</si>
  <si>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</si>
  <si>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</si>
  <si>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</si>
  <si>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</si>
  <si>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</si>
  <si>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</si>
  <si>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</si>
  <si>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</si>
  <si>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</si>
  <si>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</si>
  <si>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</si>
  <si>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</si>
  <si>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</si>
  <si>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</si>
  <si>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</si>
  <si>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</si>
  <si>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</si>
  <si>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</si>
  <si>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</si>
  <si>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</si>
  <si>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</si>
  <si>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</si>
  <si>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</si>
  <si>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</si>
  <si>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</si>
  <si>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</si>
  <si>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</si>
  <si>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</si>
  <si>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</si>
  <si>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</si>
  <si>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</si>
  <si>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</si>
  <si>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</si>
  <si>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</si>
  <si>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</si>
  <si>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</si>
  <si>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</si>
  <si>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</si>
  <si>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</si>
  <si>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</si>
  <si>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</si>
  <si>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</si>
  <si>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</si>
  <si>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</si>
  <si>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</si>
  <si>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</si>
  <si>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</si>
  <si>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</si>
  <si>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</si>
  <si>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</si>
  <si>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</si>
  <si>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</si>
  <si>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</si>
  <si>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</si>
  <si>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</si>
  <si>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</si>
  <si>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</si>
  <si>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</si>
  <si>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</si>
  <si>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</si>
  <si>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</si>
  <si>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</si>
  <si>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</si>
  <si>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</si>
  <si>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</si>
  <si>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</si>
  <si>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</si>
  <si>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</si>
  <si>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</si>
  <si>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</si>
  <si>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</si>
  <si>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</si>
  <si>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</si>
  <si>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</si>
  <si>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</si>
  <si>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</si>
  <si>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</si>
  <si>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</si>
  <si>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</si>
  <si>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</si>
  <si>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</si>
  <si>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</si>
  <si>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</si>
  <si>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</si>
  <si>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</si>
  <si>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</si>
  <si>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</si>
  <si>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</si>
  <si>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</si>
  <si>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</si>
  <si>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</si>
  <si>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</si>
  <si>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</si>
  <si>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</si>
  <si>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</si>
  <si>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</si>
  <si>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</si>
  <si>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</si>
  <si>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</si>
  <si>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</si>
  <si>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</si>
  <si>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</si>
  <si>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</si>
  <si>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</si>
  <si>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</si>
  <si>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</si>
  <si>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</si>
  <si>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</si>
  <si>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</si>
  <si>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</si>
  <si>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</si>
  <si>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</si>
  <si>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</si>
  <si>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</si>
  <si>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</si>
  <si>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</si>
  <si>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</si>
  <si>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</si>
  <si>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</si>
  <si>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</si>
  <si>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</si>
  <si>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</si>
  <si>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</si>
  <si>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</si>
  <si>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</si>
  <si>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</si>
  <si>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</si>
  <si>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</si>
  <si>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</si>
  <si>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</si>
  <si>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</si>
  <si>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</si>
  <si>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</si>
  <si>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</si>
  <si>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</si>
  <si>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</si>
  <si>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</si>
  <si>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</si>
  <si>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</si>
  <si>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</si>
  <si>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</si>
  <si>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</si>
  <si>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</si>
  <si>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</si>
  <si>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</si>
  <si>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</si>
  <si>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</si>
  <si>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</si>
  <si>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</si>
  <si>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</si>
  <si>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</si>
  <si>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</si>
  <si>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</si>
  <si>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</si>
  <si>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</si>
  <si>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</si>
  <si>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</si>
  <si>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</si>
  <si>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</si>
  <si>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</si>
  <si>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</si>
  <si>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</si>
  <si>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</si>
  <si>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</si>
  <si>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</si>
  <si>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</si>
  <si>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</si>
  <si>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</si>
  <si>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</si>
  <si>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</si>
  <si>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</si>
  <si>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</si>
  <si>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</si>
  <si>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</si>
  <si>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</si>
  <si>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</si>
  <si>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</si>
  <si>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</si>
  <si>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</si>
  <si>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</si>
  <si>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</si>
  <si>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</si>
  <si>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</si>
  <si>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</si>
  <si>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</si>
  <si>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</si>
  <si>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</si>
  <si>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</si>
  <si>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</si>
  <si>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</si>
  <si>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</si>
  <si>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</si>
  <si>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</si>
  <si>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</si>
  <si>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</si>
  <si>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</si>
  <si>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</si>
  <si>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</si>
  <si>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</si>
  <si>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</si>
  <si>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</si>
  <si>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</si>
  <si>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</si>
  <si>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</si>
  <si>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</si>
  <si>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</si>
  <si>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</si>
  <si>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</si>
  <si>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</si>
  <si>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</si>
  <si>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</si>
  <si>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</si>
  <si>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</si>
  <si>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</si>
  <si>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</si>
  <si>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</si>
  <si>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</si>
  <si>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</si>
  <si>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</si>
  <si>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</si>
  <si>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</si>
  <si>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</si>
  <si>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</si>
  <si>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</si>
  <si>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</si>
  <si>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</si>
  <si>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</si>
  <si>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</si>
  <si>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</si>
  <si>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</si>
  <si>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</si>
  <si>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</si>
  <si>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</si>
  <si>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</si>
  <si>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</si>
  <si>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</si>
  <si>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</si>
  <si>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</si>
  <si>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</si>
  <si>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</si>
  <si>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</si>
  <si>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</si>
  <si>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</si>
  <si>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</si>
  <si>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</si>
  <si>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</si>
  <si>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</si>
  <si>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</si>
  <si>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</si>
  <si>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</si>
  <si>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</si>
  <si>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</si>
  <si>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</si>
  <si>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</si>
  <si>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</si>
  <si>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</si>
  <si>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</si>
  <si>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</si>
  <si>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</si>
  <si>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</si>
  <si>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</si>
  <si>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</si>
  <si>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</si>
  <si>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</si>
  <si>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</si>
  <si>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</si>
  <si>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</si>
  <si>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</si>
  <si>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</si>
  <si>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</si>
  <si>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</si>
  <si>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</si>
  <si>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</si>
  <si>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</si>
  <si>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</si>
  <si>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</si>
  <si>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</si>
  <si>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</si>
  <si>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</si>
  <si>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</si>
  <si>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</si>
  <si>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</si>
  <si>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</si>
  <si>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</si>
  <si>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</si>
  <si>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</si>
  <si>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</si>
  <si>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</si>
  <si>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</si>
  <si>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</si>
  <si>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</si>
  <si>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</si>
  <si>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</si>
  <si>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</si>
  <si>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</si>
  <si>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</si>
  <si>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</si>
  <si>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</si>
  <si>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</si>
  <si>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</si>
  <si>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</si>
  <si>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</si>
  <si>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</si>
  <si>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</si>
  <si>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</si>
  <si>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</si>
  <si>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</si>
  <si>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</si>
  <si>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</si>
  <si>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</si>
  <si>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</si>
  <si>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</si>
  <si>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</si>
  <si>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</si>
  <si>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</si>
  <si>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</si>
  <si>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</si>
  <si>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</si>
  <si>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</si>
  <si>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</si>
  <si>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</si>
  <si>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</si>
  <si>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</si>
  <si>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</si>
  <si>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</si>
  <si>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</si>
  <si>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</si>
  <si>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</si>
  <si>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</si>
  <si>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</si>
  <si>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</si>
  <si>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</si>
  <si>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</si>
  <si>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</si>
  <si>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</si>
  <si>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</si>
  <si>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</si>
  <si>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</si>
  <si>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</si>
  <si>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</si>
  <si>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</si>
  <si>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</si>
  <si>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</si>
  <si>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</si>
  <si>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</si>
  <si>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</si>
  <si>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</si>
  <si>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</si>
  <si>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</si>
  <si>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</si>
  <si>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</si>
  <si>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</si>
  <si>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</si>
  <si>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</si>
  <si>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</si>
  <si>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</si>
  <si>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</si>
  <si>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</si>
  <si>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</si>
  <si>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</si>
  <si>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</si>
  <si>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</si>
  <si>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</si>
  <si>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</si>
  <si>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</si>
  <si>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</si>
  <si>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</si>
  <si>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</si>
  <si>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</si>
  <si>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</si>
  <si>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</si>
  <si>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</si>
  <si>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</si>
  <si>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</si>
  <si>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</si>
  <si>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</si>
  <si>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</si>
  <si>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</si>
  <si>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</si>
  <si>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</si>
  <si>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</si>
  <si>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</si>
  <si>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</si>
  <si>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</si>
  <si>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</si>
  <si>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</si>
  <si>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</si>
  <si>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</si>
  <si>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</si>
  <si>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</si>
  <si>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</si>
  <si>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</si>
  <si>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</si>
  <si>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</si>
  <si>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</si>
  <si>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</si>
  <si>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</si>
  <si>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</si>
  <si>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</si>
  <si>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</si>
  <si>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</si>
  <si>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</si>
  <si>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</si>
  <si>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</si>
  <si>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</si>
  <si>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</si>
  <si>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</si>
  <si>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</si>
  <si>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</si>
  <si>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</si>
  <si>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</si>
  <si>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</si>
  <si>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</si>
  <si>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</si>
  <si>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</si>
  <si>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</si>
  <si>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</si>
  <si>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</si>
  <si>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</si>
  <si>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</si>
  <si>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</si>
  <si>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</si>
  <si>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</si>
  <si>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</si>
  <si>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</si>
  <si>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</si>
  <si>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</si>
  <si>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</si>
  <si>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</si>
  <si>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</si>
  <si>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</si>
  <si>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</si>
  <si>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</si>
  <si>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</si>
  <si>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</si>
  <si>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</si>
  <si>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</si>
  <si>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</si>
  <si>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</si>
  <si>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</si>
  <si>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</si>
  <si>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</si>
  <si>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</si>
  <si>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</si>
  <si>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</si>
  <si>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</si>
  <si>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</si>
  <si>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</si>
  <si>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</si>
  <si>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</si>
  <si>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</si>
  <si>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</si>
  <si>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</si>
  <si>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</si>
  <si>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</si>
  <si>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</si>
  <si>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</si>
  <si>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</si>
  <si>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</si>
  <si>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</si>
  <si>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</si>
  <si>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</si>
  <si>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</si>
  <si>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</si>
  <si>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</si>
  <si>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</si>
  <si>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</si>
  <si>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</si>
  <si>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</si>
  <si>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</si>
  <si>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</si>
  <si>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</si>
  <si>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</si>
  <si>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</si>
  <si>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</si>
  <si>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</si>
  <si>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</si>
  <si>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</si>
  <si>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</si>
  <si>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</si>
  <si>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</si>
  <si>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</si>
  <si>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</si>
  <si>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</si>
  <si>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</si>
  <si>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</si>
  <si>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</si>
  <si>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</si>
  <si>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</si>
  <si>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</si>
  <si>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</si>
  <si>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</si>
  <si>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</si>
  <si>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</si>
  <si>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</si>
  <si>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</si>
  <si>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</si>
  <si>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</si>
  <si>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</si>
  <si>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</si>
  <si>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</si>
  <si>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</si>
  <si>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</si>
  <si>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</si>
  <si>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</si>
  <si>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</si>
  <si>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</si>
  <si>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</si>
  <si>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</si>
  <si>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</si>
  <si>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</si>
  <si>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</si>
  <si>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</si>
  <si>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</si>
  <si>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</si>
  <si>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</si>
  <si>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</si>
  <si>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</si>
  <si>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</si>
  <si>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</si>
  <si>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</si>
  <si>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</si>
  <si>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</si>
  <si>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</si>
  <si>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</si>
  <si>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</si>
  <si>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</si>
  <si>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</si>
  <si>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</si>
  <si>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</si>
  <si>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</si>
  <si>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</si>
  <si>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</si>
  <si>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</si>
  <si>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</si>
  <si>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</si>
  <si>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</si>
  <si>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</si>
  <si>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</si>
  <si>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</si>
  <si>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</si>
  <si>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</si>
  <si>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</si>
  <si>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</si>
  <si>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</si>
  <si>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</si>
  <si>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</si>
  <si>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</si>
  <si>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</si>
  <si>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</si>
  <si>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</si>
  <si>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</si>
  <si>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</si>
  <si>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</si>
  <si>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</si>
  <si>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</si>
  <si>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</si>
  <si>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</si>
  <si>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</si>
  <si>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</si>
  <si>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</si>
  <si>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</si>
  <si>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</si>
  <si>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</si>
  <si>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</si>
  <si>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</si>
  <si>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</si>
  <si>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</si>
  <si>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</si>
  <si>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</si>
  <si>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</si>
  <si>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</si>
  <si>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</si>
  <si>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</si>
  <si>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</si>
  <si>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</si>
  <si>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</si>
  <si>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</si>
  <si>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</si>
  <si>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</si>
  <si>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</si>
  <si>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</si>
  <si>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</si>
  <si>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</si>
  <si>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</si>
  <si>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</si>
  <si>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</si>
  <si>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</si>
  <si>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</si>
  <si>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</si>
  <si>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</si>
  <si>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</si>
  <si>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</si>
  <si>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</si>
  <si>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</si>
  <si>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</si>
  <si>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</si>
  <si>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</si>
  <si>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</si>
  <si>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</si>
  <si>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</si>
  <si>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</si>
  <si>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</si>
  <si>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</si>
  <si>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</si>
  <si>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</si>
  <si>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</si>
  <si>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</si>
  <si>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</si>
  <si>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</si>
  <si>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</si>
  <si>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</si>
  <si>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</si>
  <si>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</si>
  <si>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</si>
  <si>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</si>
  <si>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</si>
  <si>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</si>
  <si>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</si>
  <si>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</si>
  <si>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</si>
  <si>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</si>
  <si>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</si>
  <si>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</si>
  <si>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</si>
  <si>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</si>
  <si>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</si>
  <si>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</si>
  <si>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</si>
  <si>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</si>
  <si>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</si>
  <si>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</si>
  <si>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</si>
  <si>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</si>
  <si>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</si>
  <si>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</si>
  <si>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</si>
  <si>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</si>
  <si>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</si>
  <si>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</si>
  <si>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</si>
  <si>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</si>
  <si>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</si>
  <si>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</si>
  <si>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</si>
  <si>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</si>
  <si>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</si>
  <si>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</si>
  <si>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</si>
  <si>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</si>
  <si>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</si>
  <si>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</si>
  <si>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</si>
  <si>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</si>
  <si>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</si>
  <si>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</si>
  <si>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</si>
  <si>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</si>
  <si>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</si>
  <si>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</si>
  <si>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</si>
  <si>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</si>
  <si>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</si>
  <si>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</si>
  <si>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</si>
  <si>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</si>
  <si>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</si>
  <si>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</si>
  <si>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</si>
  <si>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</si>
  <si>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</si>
  <si>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</si>
  <si>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</si>
  <si>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</si>
  <si>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</si>
  <si>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</si>
  <si>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</si>
  <si>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</si>
  <si>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</si>
  <si>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</si>
  <si>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</si>
  <si>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</si>
  <si>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</si>
  <si>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</si>
  <si>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</si>
  <si>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</si>
  <si>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</si>
  <si>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</si>
  <si>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</si>
  <si>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</si>
  <si>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</si>
  <si>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</si>
  <si>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</si>
  <si>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</si>
  <si>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</si>
  <si>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</si>
  <si>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</si>
  <si>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</si>
  <si>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</si>
  <si>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</si>
  <si>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</si>
  <si>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</si>
  <si>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</si>
  <si>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</si>
  <si>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</si>
  <si>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</si>
  <si>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</si>
  <si>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</si>
  <si>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</si>
  <si>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</si>
  <si>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</si>
  <si>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</si>
  <si>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</si>
  <si>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</si>
  <si>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</si>
  <si>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</si>
  <si>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</si>
  <si>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</si>
  <si>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</si>
  <si>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</si>
  <si>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</si>
  <si>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</si>
  <si>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</si>
  <si>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</si>
  <si>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</si>
  <si>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</si>
  <si>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</si>
  <si>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</si>
  <si>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</si>
  <si>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</si>
  <si>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</si>
  <si>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</si>
  <si>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</si>
  <si>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</si>
  <si>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</si>
  <si>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</si>
  <si>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</si>
  <si>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</si>
  <si>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</si>
  <si>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</si>
  <si>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</si>
  <si>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</si>
  <si>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</si>
  <si>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</si>
  <si>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</si>
  <si>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</si>
  <si>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</si>
  <si>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</si>
  <si>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</si>
  <si>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</si>
  <si>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</si>
  <si>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</si>
  <si>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</si>
  <si>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</si>
  <si>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</si>
  <si>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</si>
  <si>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</si>
  <si>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</si>
  <si>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</si>
  <si>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</si>
  <si>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</si>
  <si>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</si>
  <si>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</si>
  <si>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</si>
  <si>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</si>
  <si>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</si>
  <si>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</si>
  <si>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</si>
  <si>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</si>
  <si>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</si>
  <si>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</si>
  <si>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</si>
  <si>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</si>
  <si>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</si>
  <si>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</si>
  <si>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</si>
  <si>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</si>
  <si>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</si>
  <si>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</si>
  <si>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</si>
  <si>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</si>
  <si>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</si>
  <si>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</si>
  <si>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</si>
  <si>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</si>
  <si>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</si>
  <si>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</si>
  <si>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</si>
  <si>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</si>
  <si>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</si>
  <si>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</si>
  <si>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</si>
  <si>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</si>
  <si>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</si>
  <si>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</si>
  <si>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</si>
  <si>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</si>
  <si>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</si>
  <si>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</si>
  <si>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</si>
  <si>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</si>
  <si>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</si>
  <si>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</si>
  <si>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</si>
  <si>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</si>
  <si>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</si>
  <si>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</si>
  <si>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</si>
  <si>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</si>
  <si>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</si>
  <si>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</si>
  <si>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</si>
  <si>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</si>
  <si>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</si>
  <si>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</si>
  <si>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</si>
  <si>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</si>
  <si>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</si>
  <si>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</si>
  <si>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</si>
  <si>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</si>
  <si>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</si>
  <si>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</si>
  <si>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</si>
  <si>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</si>
  <si>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</si>
  <si>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</si>
  <si>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</si>
  <si>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</si>
  <si>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</si>
  <si>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</si>
  <si>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</si>
  <si>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</si>
  <si>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</si>
  <si>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</si>
  <si>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</si>
  <si>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</si>
  <si>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</si>
  <si>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</si>
  <si>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</si>
  <si>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</si>
  <si>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</si>
  <si>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</si>
  <si>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</si>
  <si>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</si>
  <si>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</si>
  <si>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</si>
  <si>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</si>
  <si>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</si>
  <si>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</si>
  <si>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</si>
  <si>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</si>
  <si>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</si>
  <si>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</si>
  <si>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</si>
  <si>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</si>
  <si>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</si>
  <si>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</si>
  <si>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</si>
  <si>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</si>
  <si>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</si>
  <si>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</si>
  <si>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</si>
  <si>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</si>
  <si>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</si>
  <si>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</si>
  <si>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</si>
  <si>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</si>
  <si>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</si>
  <si>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</si>
  <si>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</si>
  <si>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</si>
  <si>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</si>
  <si>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</si>
  <si>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</si>
  <si>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</si>
  <si>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</si>
  <si>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</si>
  <si>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</si>
  <si>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</si>
  <si>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</si>
  <si>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</si>
  <si>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</si>
  <si>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</si>
  <si>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</si>
  <si>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</si>
  <si>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</si>
  <si>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</si>
  <si>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</si>
  <si>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</si>
  <si>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</si>
  <si>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</si>
  <si>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</si>
  <si>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</si>
  <si>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</si>
  <si>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</si>
  <si>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</si>
  <si>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</si>
  <si>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</si>
  <si>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</si>
  <si>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</si>
  <si>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</si>
  <si>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</si>
  <si>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</si>
  <si>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</si>
  <si>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</si>
  <si>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</si>
  <si>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</si>
  <si>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</si>
  <si>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</si>
  <si>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</si>
  <si>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</si>
  <si>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</si>
  <si>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</si>
  <si>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</si>
  <si>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</si>
  <si>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</si>
  <si>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</si>
  <si>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</si>
  <si>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</si>
  <si>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</si>
  <si>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</si>
  <si>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</si>
  <si>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</si>
  <si>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</si>
  <si>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</si>
  <si>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</si>
  <si>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</si>
  <si>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</si>
  <si>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</si>
  <si>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</si>
  <si>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</si>
  <si>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</si>
  <si>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</si>
  <si>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</si>
  <si>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</si>
  <si>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</si>
  <si>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</si>
  <si>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</si>
  <si>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</si>
  <si>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</si>
  <si>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</si>
  <si>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</si>
  <si>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</si>
  <si>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</si>
  <si>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</si>
  <si>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</si>
  <si>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</si>
  <si>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</si>
  <si>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</si>
  <si>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</si>
  <si>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</si>
  <si>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</si>
  <si>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</si>
  <si>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</si>
  <si>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</si>
  <si>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</si>
  <si>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</si>
  <si>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</si>
  <si>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</si>
  <si>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</si>
  <si>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</si>
  <si>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</si>
  <si>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</si>
  <si>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</si>
  <si>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</si>
  <si>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</si>
  <si>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</si>
  <si>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</si>
  <si>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</si>
  <si>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</si>
  <si>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</si>
  <si>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</si>
  <si>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</si>
  <si>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</si>
  <si>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</si>
  <si>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</si>
  <si>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</si>
  <si>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</si>
  <si>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</si>
  <si>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</si>
  <si>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</si>
  <si>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</si>
  <si>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</si>
  <si>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</si>
  <si>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</si>
  <si>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</si>
  <si>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</si>
  <si>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</si>
  <si>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</si>
  <si>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</si>
  <si>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</si>
  <si>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</si>
  <si>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</si>
  <si>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</si>
  <si>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</si>
  <si>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</si>
  <si>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</si>
  <si>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</si>
  <si>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</si>
  <si>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</si>
  <si>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</si>
  <si>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</si>
  <si>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</si>
  <si>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</si>
  <si>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</si>
  <si>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</si>
  <si>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</si>
  <si>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</si>
  <si>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</si>
  <si>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</si>
  <si>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</si>
  <si>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</si>
  <si>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</si>
  <si>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</si>
  <si>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</si>
  <si>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</si>
  <si>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</si>
  <si>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</si>
  <si>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</si>
  <si>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</si>
  <si>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</si>
  <si>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</si>
  <si>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</si>
  <si>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</si>
  <si>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</si>
  <si>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</si>
  <si>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</si>
  <si>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</si>
  <si>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</si>
  <si>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</si>
  <si>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</si>
  <si>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</si>
  <si>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</si>
  <si>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</si>
  <si>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</si>
  <si>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</si>
  <si>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</si>
  <si>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</si>
  <si>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</si>
  <si>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</si>
  <si>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</si>
  <si>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</si>
  <si>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</si>
  <si>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</si>
  <si>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</si>
  <si>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</si>
  <si>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</si>
  <si>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</si>
  <si>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</si>
  <si>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</si>
  <si>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</si>
  <si>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</si>
  <si>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</si>
  <si>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</si>
  <si>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</si>
  <si>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</si>
  <si>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</si>
  <si>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</si>
  <si>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</si>
  <si>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</si>
  <si>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</si>
  <si>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</si>
  <si>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</si>
  <si>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</si>
  <si>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</si>
  <si>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</si>
  <si>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</si>
  <si>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</si>
  <si>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</si>
  <si>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</si>
  <si>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</si>
  <si>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</si>
  <si>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</si>
  <si>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</si>
  <si>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</si>
  <si>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</si>
  <si>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</si>
  <si>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</si>
  <si>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</si>
  <si>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</si>
  <si>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</si>
  <si>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</si>
  <si>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</si>
  <si>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</si>
  <si>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</si>
  <si>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</si>
  <si>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</si>
  <si>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</si>
  <si>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</si>
  <si>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</si>
  <si>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</si>
  <si>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</si>
  <si>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</si>
  <si>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</si>
  <si>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</si>
  <si>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</si>
  <si>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</si>
  <si>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</si>
  <si>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</si>
  <si>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</si>
  <si>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</si>
  <si>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</si>
  <si>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</si>
  <si>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</si>
  <si>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</si>
  <si>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</si>
  <si>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</si>
  <si>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</si>
  <si>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</si>
  <si>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</si>
  <si>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</si>
  <si>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</si>
  <si>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</si>
  <si>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</si>
  <si>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</si>
  <si>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</si>
  <si>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</si>
  <si>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</si>
  <si>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</si>
  <si>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</si>
  <si>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</si>
  <si>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</si>
  <si>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</si>
  <si>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</si>
  <si>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</si>
  <si>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</si>
  <si>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</si>
  <si>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</si>
  <si>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</si>
  <si>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</si>
  <si>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</si>
  <si>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</si>
  <si>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</si>
  <si>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</si>
  <si>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</si>
  <si>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</si>
  <si>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</si>
  <si>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</si>
  <si>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</si>
  <si>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</si>
  <si>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</si>
  <si>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</si>
  <si>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</si>
  <si>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</si>
  <si>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</si>
  <si>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</si>
  <si>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</si>
  <si>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</si>
  <si>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</si>
  <si>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</si>
  <si>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</si>
  <si>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</si>
  <si>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</si>
  <si>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</si>
  <si>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</si>
  <si>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</si>
  <si>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</si>
  <si>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</si>
  <si>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</si>
  <si>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</si>
  <si>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</si>
  <si>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</si>
  <si>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</si>
  <si>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</si>
  <si>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</si>
  <si>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</si>
  <si>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</si>
  <si>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</si>
  <si>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</si>
  <si>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</si>
  <si>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</si>
  <si>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</si>
  <si>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</si>
  <si>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</si>
  <si>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</si>
  <si>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</si>
  <si>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</si>
  <si>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</si>
  <si>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</si>
  <si>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</si>
  <si>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</si>
  <si>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</si>
  <si>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</si>
  <si>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</si>
  <si>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</si>
  <si>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</si>
  <si>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</si>
  <si>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</si>
  <si>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</si>
  <si>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</si>
  <si>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</si>
  <si>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</si>
  <si>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</si>
  <si>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</si>
  <si>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</si>
  <si>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</si>
  <si>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</si>
  <si>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</si>
  <si>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</si>
  <si>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</si>
  <si>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</si>
  <si>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</si>
  <si>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</si>
  <si>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</si>
  <si>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</si>
  <si>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</si>
  <si>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</si>
  <si>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</si>
  <si>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</si>
  <si>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</si>
  <si>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</si>
  <si>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</si>
  <si>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</si>
  <si>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</si>
  <si>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</si>
  <si>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</si>
  <si>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</si>
  <si>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</si>
  <si>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</si>
  <si>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</si>
  <si>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</si>
  <si>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</si>
  <si>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</si>
  <si>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</si>
  <si>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</si>
  <si>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</si>
  <si>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</si>
  <si>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</si>
  <si>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</si>
  <si>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</si>
  <si>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</si>
  <si>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</si>
  <si>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</si>
  <si>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</si>
  <si>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</si>
  <si>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</si>
  <si>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</si>
  <si>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</si>
  <si>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</si>
  <si>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</si>
  <si>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</si>
  <si>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</si>
  <si>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</si>
  <si>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</si>
  <si>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</si>
  <si>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</si>
  <si>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</si>
  <si>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</si>
  <si>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</si>
  <si>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</si>
  <si>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</si>
  <si>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</si>
  <si>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</si>
  <si>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</si>
  <si>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</si>
  <si>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</si>
  <si>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</si>
  <si>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</si>
  <si>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</si>
  <si>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</si>
  <si>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</si>
  <si>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</si>
  <si>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</si>
  <si>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</si>
  <si>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</si>
  <si>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</si>
  <si>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</si>
  <si>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</si>
  <si>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</si>
  <si>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</si>
  <si>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</si>
  <si>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</si>
  <si>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</si>
  <si>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</si>
  <si>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</si>
  <si>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</si>
  <si>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</si>
  <si>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</si>
  <si>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</si>
  <si>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</si>
  <si>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</si>
  <si>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</si>
  <si>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</si>
  <si>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</si>
  <si>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</si>
  <si>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</si>
  <si>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</si>
  <si>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</si>
  <si>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</si>
  <si>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</si>
  <si>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</si>
  <si>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</si>
  <si>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</si>
  <si>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</si>
  <si>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</si>
  <si>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</si>
  <si>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</si>
  <si>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</si>
  <si>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</si>
  <si>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</si>
  <si>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</si>
  <si>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</si>
  <si>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</si>
  <si>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</si>
  <si>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</si>
  <si>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</si>
  <si>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</si>
  <si>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</si>
  <si>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</si>
  <si>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</si>
  <si>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</si>
  <si>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</si>
  <si>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</si>
  <si>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</si>
  <si>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</si>
  <si>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</si>
  <si>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</si>
  <si>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</si>
  <si>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</si>
  <si>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</si>
  <si>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</si>
  <si>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</si>
  <si>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</si>
  <si>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</si>
  <si>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</si>
  <si>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</si>
  <si>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</si>
  <si>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</si>
  <si>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</si>
  <si>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</si>
  <si>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</si>
  <si>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</si>
  <si>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</si>
  <si>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</si>
  <si>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</si>
  <si>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</si>
  <si>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</si>
  <si>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</si>
  <si>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</si>
  <si>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</si>
  <si>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</si>
  <si>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</si>
  <si>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</si>
  <si>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</si>
  <si>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</si>
  <si>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</si>
  <si>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</si>
  <si>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</si>
  <si>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</si>
  <si>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</si>
  <si>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</si>
  <si>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</si>
  <si>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</si>
  <si>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</si>
  <si>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</si>
  <si>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</si>
  <si>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</si>
  <si>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</si>
  <si>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</si>
  <si>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</si>
  <si>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</si>
  <si>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</si>
  <si>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</si>
  <si>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</si>
  <si>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</si>
  <si>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</si>
  <si>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</si>
  <si>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</si>
  <si>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</si>
  <si>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</si>
  <si>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</si>
  <si>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</si>
  <si>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</si>
  <si>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</si>
  <si>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</si>
  <si>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</si>
  <si>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</si>
  <si>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</si>
  <si>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</si>
  <si>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</si>
  <si>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</si>
  <si>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</si>
  <si>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</si>
  <si>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</si>
  <si>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</si>
  <si>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</si>
  <si>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</si>
  <si>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</si>
  <si>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</si>
  <si>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</si>
  <si>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</si>
  <si>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</si>
  <si>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</si>
  <si>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</si>
  <si>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</si>
  <si>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</si>
  <si>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</si>
  <si>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</si>
  <si>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</si>
  <si>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</si>
  <si>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</si>
  <si>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</si>
  <si>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</si>
  <si>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</si>
  <si>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</si>
  <si>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</si>
  <si>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</si>
  <si>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</si>
  <si>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</si>
  <si>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</si>
  <si>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</si>
  <si>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</si>
  <si>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</si>
  <si>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</si>
  <si>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</si>
  <si>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</si>
  <si>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</si>
  <si>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</si>
  <si>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</si>
  <si>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</si>
  <si>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</si>
  <si>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</si>
  <si>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</si>
  <si>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</si>
  <si>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</si>
  <si>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</si>
  <si>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</si>
  <si>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</si>
  <si>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</si>
  <si>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</si>
  <si>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</si>
  <si>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</si>
  <si>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</si>
  <si>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</si>
  <si>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</si>
  <si>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</si>
  <si>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</si>
  <si>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</si>
  <si>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</si>
  <si>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</si>
  <si>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</si>
  <si>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</si>
  <si>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</si>
  <si>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</si>
  <si>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</si>
  <si>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</si>
  <si>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</si>
  <si>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</si>
  <si>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</si>
  <si>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</si>
  <si>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</si>
  <si>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</si>
  <si>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</si>
  <si>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</si>
  <si>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</si>
  <si>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</si>
  <si>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</si>
  <si>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</si>
  <si>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</si>
  <si>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</si>
  <si>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</si>
  <si>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</si>
  <si>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</si>
  <si>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</si>
  <si>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</si>
  <si>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</si>
  <si>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</si>
  <si>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</si>
  <si>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</si>
  <si>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</si>
  <si>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</si>
  <si>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</si>
  <si>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</si>
  <si>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</si>
  <si>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</si>
  <si>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</si>
  <si>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</si>
  <si>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</si>
  <si>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</si>
  <si>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</si>
  <si>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</si>
  <si>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</si>
  <si>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</si>
  <si>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</si>
  <si>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</si>
  <si>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</si>
  <si>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</si>
  <si>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</si>
  <si>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</si>
  <si>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</si>
  <si>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</si>
  <si>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</si>
  <si>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</si>
  <si>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</si>
  <si>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</si>
  <si>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</si>
  <si>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</si>
  <si>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</si>
  <si>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</si>
  <si>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</si>
  <si>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</si>
  <si>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</si>
  <si>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</si>
  <si>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</si>
  <si>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</si>
  <si>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</si>
  <si>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</si>
  <si>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</si>
  <si>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</si>
  <si>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</si>
  <si>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</si>
  <si>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</si>
  <si>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</si>
  <si>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</si>
  <si>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</si>
  <si>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</si>
  <si>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</si>
  <si>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</si>
  <si>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</si>
  <si>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</si>
  <si>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</si>
  <si>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</si>
  <si>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</si>
  <si>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</si>
  <si>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</si>
  <si>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</si>
  <si>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</si>
  <si>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</si>
  <si>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</si>
  <si>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</si>
  <si>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</si>
  <si>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</si>
  <si>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</si>
  <si>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</si>
  <si>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</si>
  <si>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</si>
  <si>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</si>
  <si>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</si>
  <si>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</si>
  <si>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</si>
  <si>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</si>
  <si>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</si>
  <si>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</si>
  <si>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</si>
  <si>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</si>
  <si>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</si>
  <si>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</si>
  <si>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</si>
  <si>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</si>
  <si>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</si>
  <si>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</si>
  <si>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</si>
  <si>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</si>
  <si>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</si>
  <si>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</si>
  <si>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</si>
  <si>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</si>
  <si>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</si>
  <si>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</si>
  <si>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</si>
  <si>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</si>
  <si>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</si>
  <si>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</si>
  <si>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</si>
  <si>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</si>
  <si>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</si>
  <si>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</si>
  <si>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</si>
  <si>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</si>
  <si>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</si>
  <si>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</si>
  <si>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</si>
  <si>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</si>
  <si>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</si>
  <si>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</si>
  <si>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</si>
  <si>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</si>
  <si>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</si>
  <si>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</si>
  <si>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</si>
  <si>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</si>
  <si>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</si>
  <si>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</si>
  <si>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</si>
  <si>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</si>
  <si>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</si>
  <si>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</si>
  <si>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</si>
  <si>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</si>
  <si>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</si>
  <si>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</si>
  <si>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</si>
  <si>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</si>
  <si>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</si>
  <si>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</si>
  <si>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</si>
  <si>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</si>
  <si>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</si>
  <si>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</si>
  <si>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</si>
  <si>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</si>
  <si>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</si>
  <si>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</si>
  <si>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</si>
  <si>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</si>
  <si>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</si>
  <si>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</si>
  <si>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</si>
  <si>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</si>
  <si>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</si>
  <si>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</si>
  <si>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</si>
  <si>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</si>
  <si>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</si>
  <si>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</si>
  <si>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</si>
  <si>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</si>
  <si>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</si>
  <si>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</si>
  <si>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</si>
  <si>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</si>
  <si>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</si>
  <si>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</si>
  <si>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</si>
  <si>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</si>
  <si>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</si>
  <si>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</si>
  <si>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</si>
  <si>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</si>
  <si>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</si>
  <si>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</si>
  <si>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</si>
  <si>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</si>
  <si>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</si>
  <si>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</si>
  <si>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</si>
  <si>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</si>
  <si>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</si>
  <si>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</si>
  <si>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</si>
  <si>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</si>
  <si>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</si>
  <si>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</si>
  <si>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</si>
  <si>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</si>
  <si>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</si>
  <si>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</si>
  <si>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</si>
  <si>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</si>
  <si>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</si>
  <si>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</si>
  <si>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</si>
  <si>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</si>
  <si>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</si>
  <si>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</si>
  <si>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</si>
  <si>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</si>
  <si>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</si>
  <si>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</si>
  <si>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</si>
  <si>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</si>
  <si>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</si>
  <si>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</si>
  <si>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</si>
  <si>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</si>
  <si>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</si>
  <si>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</si>
  <si>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</si>
  <si>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</si>
  <si>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</si>
  <si>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</si>
  <si>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</si>
  <si>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</si>
  <si>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</si>
  <si>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</si>
  <si>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</si>
  <si>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</si>
  <si>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</si>
  <si>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</si>
  <si>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</si>
  <si>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</si>
  <si>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</si>
  <si>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</si>
  <si>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</si>
  <si>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</si>
  <si>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</si>
  <si>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</si>
  <si>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</si>
  <si>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</si>
  <si>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</si>
  <si>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</si>
  <si>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</si>
  <si>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</si>
  <si>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</si>
  <si>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</si>
  <si>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</si>
  <si>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</si>
  <si>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</si>
  <si>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</si>
  <si>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</si>
  <si>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</si>
  <si>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</si>
  <si>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</si>
  <si>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</si>
  <si>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</si>
  <si>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</si>
  <si>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</si>
  <si>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</si>
  <si>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</si>
  <si>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</si>
  <si>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</si>
  <si>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</si>
  <si>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</si>
  <si>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</si>
  <si>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</si>
  <si>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</si>
  <si>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</si>
  <si>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</si>
  <si>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</si>
  <si>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</si>
  <si>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</si>
  <si>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</si>
  <si>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</si>
  <si>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</si>
  <si>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</si>
  <si>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</si>
  <si>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</si>
  <si>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</si>
  <si>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</si>
  <si>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</si>
  <si>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</si>
  <si>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</si>
  <si>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</si>
  <si>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</si>
  <si>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</si>
  <si>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</si>
  <si>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</si>
  <si>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</si>
  <si>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</si>
  <si>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</si>
  <si>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</si>
  <si>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</si>
  <si>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</si>
  <si>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</si>
  <si>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</si>
  <si>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</si>
  <si>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</si>
  <si>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</si>
  <si>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</si>
  <si>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</si>
  <si>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</si>
  <si>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</si>
  <si>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</si>
  <si>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</si>
  <si>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</si>
  <si>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</si>
  <si>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</si>
  <si>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</si>
  <si>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</si>
  <si>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</si>
  <si>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</si>
  <si>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</si>
  <si>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</si>
  <si>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</si>
  <si>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</si>
  <si>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</si>
  <si>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</si>
  <si>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</si>
  <si>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</si>
  <si>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</si>
  <si>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</si>
  <si>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</si>
  <si>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</si>
  <si>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</si>
  <si>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</si>
  <si>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</si>
  <si>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</si>
  <si>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</si>
  <si>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</si>
  <si>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</si>
  <si>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</si>
  <si>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</si>
  <si>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</si>
  <si>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</si>
  <si>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</si>
  <si>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</si>
  <si>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</si>
  <si>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</si>
  <si>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</si>
  <si>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</si>
  <si>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</si>
  <si>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</si>
  <si>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</si>
  <si>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</si>
  <si>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</si>
  <si>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</si>
  <si>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</si>
  <si>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</si>
  <si>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</si>
  <si>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</si>
  <si>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</si>
  <si>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</si>
  <si>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</si>
  <si>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</si>
  <si>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</si>
  <si>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</si>
  <si>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</si>
  <si>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</si>
  <si>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</si>
  <si>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</si>
  <si>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</si>
  <si>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</si>
  <si>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</si>
  <si>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</si>
  <si>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</si>
  <si>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</si>
  <si>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</si>
  <si>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</si>
  <si>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</si>
  <si>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</si>
  <si>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</si>
  <si>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</si>
  <si>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</si>
  <si>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</si>
  <si>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</si>
  <si>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</si>
  <si>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</si>
  <si>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</si>
  <si>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</si>
  <si>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</si>
  <si>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</si>
  <si>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</si>
  <si>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</si>
  <si>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</si>
  <si>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</si>
  <si>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</si>
  <si>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</si>
  <si>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</si>
  <si>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</si>
  <si>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</si>
  <si>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</si>
  <si>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</si>
  <si>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</si>
  <si>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</si>
  <si>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</si>
  <si>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</si>
  <si>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</si>
  <si>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</si>
  <si>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</si>
  <si>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</si>
  <si>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</si>
  <si>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</si>
  <si>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</si>
  <si>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</si>
  <si>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</si>
  <si>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</si>
  <si>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</si>
  <si>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</si>
  <si>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</si>
  <si>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</si>
  <si>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</si>
  <si>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</si>
  <si>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</si>
  <si>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</si>
  <si>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</si>
  <si>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</si>
  <si>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</si>
  <si>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</si>
  <si>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</si>
  <si>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</si>
  <si>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</si>
  <si>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</si>
  <si>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</si>
  <si>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</si>
  <si>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</si>
  <si>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</si>
  <si>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</si>
  <si>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</si>
  <si>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</si>
  <si>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</si>
  <si>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</si>
  <si>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</si>
  <si>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</si>
  <si>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</si>
  <si>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</si>
  <si>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</si>
  <si>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</si>
  <si>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</si>
  <si>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</si>
  <si>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</si>
  <si>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</si>
  <si>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</si>
  <si>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</si>
  <si>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</si>
  <si>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</si>
  <si>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</si>
  <si>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</si>
  <si>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</si>
  <si>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</si>
  <si>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</si>
  <si>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</si>
  <si>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</si>
  <si>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</si>
  <si>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</si>
  <si>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</si>
  <si>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</si>
  <si>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</si>
  <si>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</si>
  <si>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</si>
  <si>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</si>
  <si>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</si>
  <si>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</si>
  <si>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</si>
  <si>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</si>
  <si>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</si>
  <si>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</si>
  <si>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</si>
  <si>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</si>
  <si>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</si>
  <si>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</si>
  <si>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</si>
  <si>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</si>
  <si>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</si>
  <si>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</si>
  <si>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</si>
  <si>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</si>
  <si>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</si>
  <si>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</si>
  <si>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</si>
  <si>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</si>
  <si>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</si>
  <si>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</si>
  <si>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</si>
  <si>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</si>
  <si>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</si>
  <si>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</si>
  <si>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</si>
  <si>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</si>
  <si>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</si>
  <si>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</si>
  <si>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</si>
  <si>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</si>
  <si>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</si>
  <si>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</si>
  <si>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</si>
  <si>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</si>
  <si>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</si>
  <si>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</si>
  <si>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</si>
  <si>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</si>
  <si>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</si>
  <si>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</si>
  <si>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</si>
  <si>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</si>
  <si>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</si>
  <si>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</si>
  <si>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</si>
  <si>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</si>
  <si>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</si>
  <si>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</si>
  <si>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</si>
  <si>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</si>
  <si>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</si>
  <si>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</si>
  <si>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</si>
  <si>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</si>
  <si>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</si>
  <si>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</si>
  <si>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</si>
  <si>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</si>
  <si>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</si>
  <si>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</si>
  <si>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</si>
  <si>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</si>
  <si>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</si>
  <si>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</si>
  <si>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</si>
  <si>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</si>
  <si>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</si>
  <si>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</si>
  <si>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</si>
  <si>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</si>
  <si>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</si>
  <si>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</si>
  <si>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</si>
  <si>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</si>
  <si>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</si>
  <si>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</si>
  <si>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</si>
  <si>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</si>
  <si>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</si>
  <si>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</si>
  <si>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</si>
  <si>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</si>
  <si>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</si>
  <si>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</si>
  <si>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</si>
  <si>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</si>
  <si>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</si>
  <si>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</si>
  <si>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</si>
  <si>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</si>
  <si>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</si>
  <si>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</si>
  <si>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</si>
  <si>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</si>
  <si>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</si>
  <si>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</si>
  <si>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</si>
  <si>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</si>
  <si>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</si>
  <si>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</si>
  <si>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</si>
  <si>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</si>
  <si>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</si>
  <si>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</si>
  <si>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</si>
  <si>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</si>
  <si>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</si>
  <si>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</si>
  <si>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</si>
  <si>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</si>
  <si>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</si>
  <si>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</si>
  <si>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</si>
  <si>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</si>
  <si>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</si>
  <si>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</si>
  <si>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</si>
  <si>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</si>
  <si>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</si>
  <si>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</si>
  <si>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</si>
  <si>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</si>
  <si>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</si>
  <si>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</si>
  <si>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</si>
  <si>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</si>
  <si>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</si>
  <si>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</si>
  <si>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</si>
  <si>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</si>
  <si>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</si>
  <si>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</si>
  <si>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</si>
  <si>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</si>
  <si>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</si>
  <si>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</si>
  <si>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</si>
  <si>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</si>
  <si>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</si>
  <si>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</si>
  <si>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</si>
  <si>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</si>
  <si>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</si>
  <si>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</si>
  <si>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</si>
  <si>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</si>
  <si>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</si>
  <si>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</si>
  <si>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</si>
  <si>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</si>
  <si>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</si>
  <si>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</si>
  <si>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</si>
  <si>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</si>
  <si>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</si>
  <si>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</si>
  <si>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</si>
  <si>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</si>
  <si>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</si>
  <si>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</si>
  <si>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</si>
  <si>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</si>
  <si>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</si>
  <si>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</si>
  <si>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</si>
  <si>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</si>
  <si>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</si>
  <si>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</si>
  <si>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</si>
  <si>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</si>
  <si>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</si>
  <si>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</si>
  <si>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</si>
  <si>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</si>
  <si>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</si>
  <si>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</si>
  <si>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</si>
  <si>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</si>
  <si>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</si>
  <si>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</si>
  <si>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</si>
  <si>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</si>
  <si>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</si>
  <si>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</si>
  <si>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</si>
  <si>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</si>
  <si>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</si>
  <si>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</si>
  <si>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</si>
  <si>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</si>
  <si>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</si>
  <si>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</si>
  <si>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</si>
  <si>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</si>
  <si>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</si>
  <si>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</si>
  <si>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</si>
  <si>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</si>
  <si>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</si>
  <si>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</si>
  <si>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</si>
  <si>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</si>
  <si>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</si>
  <si>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</si>
  <si>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</si>
  <si>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</si>
  <si>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</si>
  <si>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</si>
  <si>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</si>
  <si>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</si>
  <si>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</si>
  <si>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</si>
  <si>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</si>
  <si>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</si>
  <si>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</si>
  <si>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</si>
  <si>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</si>
  <si>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</si>
  <si>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</si>
  <si>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</si>
  <si>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</si>
  <si>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</si>
  <si>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</si>
  <si>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</si>
  <si>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</si>
  <si>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</si>
  <si>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</si>
  <si>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</si>
  <si>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</si>
  <si>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</si>
  <si>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</si>
  <si>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</si>
  <si>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</si>
  <si>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</si>
  <si>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</si>
  <si>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</si>
  <si>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</si>
  <si>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</si>
  <si>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</si>
  <si>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</si>
  <si>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</si>
  <si>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</si>
  <si>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</si>
  <si>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</si>
  <si>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</si>
  <si>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</si>
  <si>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</si>
  <si>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</si>
  <si>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</si>
  <si>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</si>
  <si>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</si>
  <si>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</si>
  <si>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</si>
  <si>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</si>
  <si>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</si>
  <si>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</si>
  <si>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</si>
  <si>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</si>
  <si>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</si>
  <si>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</si>
  <si>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</si>
  <si>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</si>
  <si>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</si>
  <si>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</si>
  <si>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</si>
  <si>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</si>
  <si>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</si>
  <si>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</si>
  <si>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</si>
  <si>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</si>
  <si>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</si>
  <si>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</si>
  <si>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</si>
  <si>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</si>
  <si>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</si>
  <si>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</si>
  <si>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</si>
  <si>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</si>
  <si>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</si>
  <si>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</si>
  <si>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</si>
  <si>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</si>
  <si>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</si>
  <si>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</si>
  <si>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</si>
  <si>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</si>
  <si>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</si>
  <si>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</si>
  <si>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</si>
  <si>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</si>
  <si>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</si>
  <si>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</si>
  <si>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</si>
  <si>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</si>
  <si>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</si>
  <si>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</si>
  <si>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</si>
  <si>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</si>
  <si>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</si>
  <si>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</si>
  <si>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</si>
  <si>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</si>
  <si>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</si>
  <si>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</si>
  <si>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</si>
  <si>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</si>
  <si>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</si>
  <si>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</si>
  <si>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</si>
  <si>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</si>
  <si>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</si>
  <si>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</si>
  <si>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</si>
  <si>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</si>
  <si>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</si>
  <si>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</si>
  <si>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</si>
  <si>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</si>
  <si>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</si>
  <si>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</si>
  <si>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</si>
  <si>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</si>
  <si>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</si>
  <si>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</si>
  <si>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</si>
  <si>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</si>
  <si>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</si>
  <si>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</si>
  <si>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</si>
  <si>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</si>
  <si>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</si>
  <si>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</si>
  <si>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</si>
  <si>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</si>
  <si>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</si>
  <si>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</si>
  <si>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</si>
  <si>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</si>
  <si>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</si>
  <si>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</si>
  <si>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</si>
  <si>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</si>
  <si>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</si>
  <si>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</si>
  <si>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</si>
  <si>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</si>
  <si>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</si>
  <si>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</si>
  <si>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</si>
  <si>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</si>
  <si>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</si>
  <si>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</si>
  <si>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</si>
  <si>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</si>
  <si>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</si>
  <si>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</si>
  <si>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</si>
  <si>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</si>
  <si>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</si>
  <si>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</si>
  <si>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</si>
  <si>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</si>
  <si>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</si>
  <si>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</si>
  <si>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</si>
  <si>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</si>
  <si>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</si>
  <si>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</si>
  <si>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</si>
  <si>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</si>
  <si>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</si>
  <si>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</si>
  <si>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</si>
  <si>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</si>
  <si>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</si>
  <si>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</si>
  <si>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</si>
  <si>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</si>
  <si>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</si>
  <si>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</si>
  <si>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</si>
  <si>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</si>
  <si>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</si>
  <si>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</si>
  <si>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</si>
  <si>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</si>
  <si>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</si>
  <si>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</si>
  <si>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</si>
  <si>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</si>
  <si>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</si>
  <si>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</si>
  <si>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</si>
  <si>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</si>
  <si>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</si>
  <si>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</si>
  <si>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</si>
  <si>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</si>
  <si>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</si>
  <si>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</si>
  <si>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</si>
  <si>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</si>
  <si>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</si>
  <si>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</si>
  <si>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</si>
  <si>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</si>
  <si>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</si>
  <si>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</si>
  <si>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</si>
  <si>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</si>
  <si>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</si>
  <si>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</si>
  <si>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</si>
  <si>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</si>
  <si>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</si>
  <si>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</si>
  <si>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</si>
  <si>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</si>
  <si>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</si>
  <si>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</si>
  <si>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</si>
  <si>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</si>
  <si>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</si>
  <si>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</si>
  <si>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</si>
  <si>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</si>
  <si>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</si>
  <si>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</si>
  <si>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</si>
  <si>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</si>
  <si>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</si>
  <si>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</si>
  <si>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</si>
  <si>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</si>
  <si>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</si>
  <si>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</si>
  <si>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</si>
  <si>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</si>
  <si>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</si>
  <si>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</si>
  <si>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</si>
  <si>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</si>
  <si>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</si>
  <si>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</si>
  <si>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</si>
  <si>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</si>
  <si>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</si>
  <si>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</si>
  <si>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</si>
  <si>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</si>
  <si>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</si>
  <si>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</si>
  <si>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</si>
  <si>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</si>
  <si>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</si>
  <si>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</si>
  <si>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</si>
  <si>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</si>
  <si>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</si>
  <si>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</si>
  <si>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</si>
  <si>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</si>
  <si>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</si>
  <si>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</si>
  <si>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</si>
  <si>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</si>
  <si>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</si>
  <si>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</si>
  <si>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</si>
  <si>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</si>
  <si>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</si>
  <si>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</si>
  <si>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</si>
  <si>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</si>
  <si>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</si>
  <si>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</si>
  <si>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</si>
  <si>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</si>
  <si>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</si>
  <si>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</si>
  <si>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</si>
  <si>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</si>
  <si>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</si>
  <si>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</si>
  <si>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</si>
  <si>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</si>
  <si>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</si>
  <si>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</si>
  <si>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</si>
  <si>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</si>
  <si>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</si>
  <si>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</si>
  <si>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</si>
  <si>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</si>
  <si>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</si>
  <si>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</si>
  <si>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</si>
  <si>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</si>
  <si>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</si>
  <si>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</si>
  <si>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</si>
  <si>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</si>
  <si>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</si>
  <si>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</si>
  <si>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</si>
  <si>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</si>
  <si>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</si>
  <si>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</si>
  <si>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</si>
  <si>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</si>
  <si>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</si>
  <si>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</si>
  <si>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</si>
  <si>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</si>
  <si>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</si>
  <si>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</si>
  <si>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</si>
  <si>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</si>
  <si>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</si>
  <si>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</si>
  <si>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</si>
  <si>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</si>
  <si>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</si>
  <si>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</si>
  <si>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</si>
  <si>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</si>
  <si>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</si>
  <si>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</si>
  <si>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</si>
  <si>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</si>
  <si>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</si>
  <si>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</si>
  <si>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</si>
  <si>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</si>
  <si>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</si>
  <si>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</si>
  <si>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</si>
  <si>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</si>
  <si>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</si>
  <si>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</si>
  <si>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</si>
  <si>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</si>
  <si>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</si>
  <si>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</si>
  <si>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</si>
  <si>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</si>
  <si>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</si>
  <si>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</si>
  <si>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</si>
  <si>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</si>
  <si>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</si>
  <si>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</si>
  <si>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</si>
  <si>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</si>
  <si>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</si>
  <si>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</si>
  <si>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</si>
  <si>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</si>
  <si>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</si>
  <si>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</si>
  <si>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</si>
  <si>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</si>
  <si>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</si>
  <si>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</si>
  <si>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</si>
  <si>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</si>
  <si>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</si>
  <si>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</si>
  <si>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</si>
  <si>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</si>
  <si>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</si>
  <si>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</si>
  <si>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</si>
  <si>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</si>
  <si>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</si>
  <si>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</si>
  <si>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</si>
  <si>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</si>
  <si>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</si>
  <si>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</si>
  <si>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</si>
  <si>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</si>
  <si>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</si>
  <si>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</si>
  <si>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</si>
  <si>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</si>
  <si>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</si>
  <si>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</si>
  <si>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</si>
  <si>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</si>
  <si>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</si>
  <si>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</si>
  <si>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</si>
  <si>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</si>
  <si>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</si>
  <si>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</si>
  <si>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</si>
  <si>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</si>
  <si>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</si>
  <si>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</si>
  <si>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</si>
  <si>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</si>
  <si>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</si>
  <si>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</si>
  <si>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</si>
  <si>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</si>
  <si>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</si>
  <si>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</si>
  <si>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</si>
  <si>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</si>
  <si>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</si>
  <si>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</si>
  <si>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</si>
  <si>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</si>
  <si>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</si>
  <si>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</si>
  <si>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</si>
  <si>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</si>
  <si>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</si>
  <si>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</si>
  <si>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</si>
  <si>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</si>
  <si>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</si>
  <si>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</si>
  <si>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</si>
  <si>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</si>
  <si>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</si>
  <si>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</si>
  <si>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</si>
  <si>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</si>
  <si>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</si>
  <si>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</si>
  <si>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</si>
  <si>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</si>
  <si>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</si>
  <si>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</si>
  <si>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</si>
  <si>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</si>
  <si>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</si>
  <si>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</si>
  <si>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</si>
  <si>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</si>
  <si>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</si>
  <si>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</si>
  <si>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</si>
  <si>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</si>
  <si>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</si>
  <si>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</si>
  <si>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</si>
  <si>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</si>
  <si>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</si>
  <si>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</si>
  <si>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</si>
  <si>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</si>
  <si>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</si>
  <si>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</si>
  <si>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</si>
  <si>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</si>
  <si>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</si>
  <si>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</si>
  <si>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</si>
  <si>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</si>
  <si>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</si>
  <si>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</si>
  <si>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</si>
  <si>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</si>
  <si>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</si>
  <si>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</si>
  <si>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</si>
  <si>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</si>
  <si>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</si>
  <si>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</si>
  <si>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</si>
  <si>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</si>
  <si>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</si>
  <si>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</si>
  <si>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</si>
  <si>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</si>
  <si>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</si>
  <si>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</si>
  <si>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</si>
  <si>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</si>
  <si>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</si>
  <si>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</si>
  <si>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</si>
  <si>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</si>
  <si>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</si>
  <si>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</si>
  <si>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</si>
  <si>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</si>
  <si>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</si>
  <si>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</si>
  <si>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</si>
  <si>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</si>
  <si>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</si>
  <si>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</si>
  <si>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</si>
  <si>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</si>
  <si>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</si>
  <si>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</si>
  <si>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</si>
  <si>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</si>
  <si>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</si>
  <si>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</si>
  <si>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</si>
  <si>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</si>
  <si>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</si>
  <si>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</si>
  <si>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</si>
  <si>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</si>
  <si>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</si>
  <si>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</si>
  <si>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</si>
  <si>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</si>
  <si>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</si>
  <si>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</si>
  <si>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</si>
  <si>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</si>
  <si>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</si>
  <si>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</si>
  <si>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</si>
  <si>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</si>
  <si>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</si>
  <si>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</si>
  <si>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</si>
  <si>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</si>
  <si>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</si>
  <si>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</si>
  <si>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</si>
  <si>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</si>
  <si>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</si>
  <si>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</si>
  <si>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</si>
  <si>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</si>
  <si>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</si>
  <si>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</si>
  <si>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</si>
  <si>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</si>
  <si>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</si>
  <si>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</si>
  <si>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</si>
  <si>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</si>
  <si>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</si>
  <si>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</si>
  <si>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</si>
  <si>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</si>
  <si>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</si>
  <si>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</si>
  <si>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</si>
  <si>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</si>
  <si>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</si>
  <si>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</si>
  <si>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</si>
  <si>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</si>
  <si>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</si>
  <si>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</si>
  <si>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</si>
  <si>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</si>
  <si>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</si>
  <si>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</si>
  <si>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</si>
  <si>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</si>
  <si>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</si>
  <si>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</si>
  <si>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</si>
  <si>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</si>
  <si>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</si>
  <si>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</si>
  <si>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</si>
  <si>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</si>
  <si>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</si>
  <si>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</si>
  <si>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</si>
  <si>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</si>
  <si>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</si>
  <si>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</si>
  <si>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</si>
  <si>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</si>
  <si>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</si>
  <si>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</si>
  <si>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</si>
  <si>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</si>
  <si>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</si>
  <si>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</si>
  <si>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</si>
  <si>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</si>
  <si>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</si>
  <si>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</si>
  <si>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</si>
  <si>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</si>
  <si>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</si>
  <si>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</si>
  <si>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</si>
  <si>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</si>
  <si>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</si>
  <si>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</si>
  <si>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</si>
  <si>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</si>
  <si>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</si>
  <si>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</si>
  <si>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</si>
  <si>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</si>
  <si>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</si>
  <si>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</si>
  <si>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</si>
  <si>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</si>
  <si>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</si>
  <si>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</si>
  <si>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</si>
  <si>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</si>
  <si>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</si>
  <si>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</si>
  <si>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</si>
  <si>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</si>
  <si>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</si>
  <si>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</si>
  <si>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</si>
  <si>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</si>
  <si>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</si>
  <si>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</si>
  <si>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</si>
  <si>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</si>
  <si>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</si>
  <si>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</si>
  <si>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</si>
  <si>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</si>
  <si>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</si>
  <si>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</si>
  <si>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</si>
  <si>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</si>
  <si>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</si>
  <si>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</si>
  <si>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</si>
  <si>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</si>
  <si>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</si>
  <si>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</si>
  <si>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</si>
  <si>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</si>
  <si>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</si>
  <si>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</si>
  <si>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</si>
  <si>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</si>
  <si>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</si>
  <si>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</si>
  <si>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</si>
  <si>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</si>
  <si>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</si>
  <si>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</si>
  <si>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</si>
  <si>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</si>
  <si>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</si>
  <si>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</si>
  <si>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</si>
  <si>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</si>
  <si>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</si>
  <si>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</si>
  <si>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</si>
  <si>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</si>
  <si>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</si>
  <si>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</si>
  <si>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</si>
  <si>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</si>
  <si>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</si>
  <si>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</si>
  <si>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</si>
  <si>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</si>
  <si>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</si>
  <si>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</si>
  <si>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</si>
  <si>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</si>
  <si>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</si>
  <si>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</si>
  <si>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</si>
  <si>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</si>
  <si>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</si>
  <si>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</si>
  <si>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</si>
  <si>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</si>
  <si>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</si>
  <si>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</si>
  <si>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</si>
  <si>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</si>
  <si>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</si>
  <si>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</si>
  <si>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</si>
  <si>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</si>
  <si>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</si>
  <si>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</si>
  <si>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</si>
  <si>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</si>
  <si>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</si>
  <si>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</si>
  <si>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</si>
  <si>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</si>
  <si>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</si>
  <si>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</si>
  <si>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</si>
  <si>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</si>
  <si>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</si>
  <si>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</si>
  <si>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</si>
  <si>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</si>
  <si>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</si>
  <si>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</si>
  <si>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</si>
  <si>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</si>
  <si>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</si>
  <si>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</si>
  <si>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</si>
  <si>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</si>
  <si>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</si>
  <si>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</si>
  <si>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</si>
  <si>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</si>
  <si>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</si>
  <si>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</si>
  <si>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</si>
  <si>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</si>
  <si>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</si>
  <si>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</si>
  <si>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</si>
  <si>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</si>
  <si>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</si>
  <si>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</si>
  <si>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</si>
  <si>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</si>
  <si>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</si>
  <si>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</si>
  <si>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</si>
  <si>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</si>
  <si>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</si>
  <si>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</si>
  <si>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</si>
  <si>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</si>
  <si>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</si>
  <si>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</si>
  <si>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</si>
  <si>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</si>
  <si>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</si>
  <si>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</si>
  <si>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</si>
  <si>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</si>
  <si>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</si>
  <si>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</si>
  <si>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</si>
  <si>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</si>
  <si>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</si>
  <si>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</si>
  <si>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</si>
  <si>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</si>
  <si>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</si>
  <si>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</si>
  <si>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</si>
  <si>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</si>
  <si>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</si>
  <si>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</si>
  <si>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</si>
  <si>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</si>
  <si>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</si>
  <si>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</si>
  <si>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</si>
  <si>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</si>
  <si>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</si>
  <si>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</si>
  <si>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</si>
  <si>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</si>
  <si>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</si>
  <si>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</si>
  <si>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</si>
  <si>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</si>
  <si>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</si>
  <si>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</si>
  <si>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</si>
  <si>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</si>
  <si>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</si>
  <si>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</si>
  <si>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</si>
  <si>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</si>
  <si>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</si>
  <si>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</si>
  <si>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</si>
  <si>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</si>
  <si>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</si>
  <si>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</si>
  <si>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</si>
  <si>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</si>
  <si>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</si>
  <si>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</si>
  <si>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</si>
  <si>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</si>
  <si>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</si>
  <si>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</si>
  <si>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</si>
  <si>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</si>
  <si>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</si>
  <si>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</si>
  <si>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</si>
  <si>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</si>
  <si>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</si>
  <si>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</si>
  <si>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</si>
  <si>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</si>
  <si>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</si>
  <si>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</si>
  <si>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</si>
  <si>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</si>
  <si>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</si>
  <si>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</si>
  <si>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</si>
  <si>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</si>
  <si>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</si>
  <si>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</si>
  <si>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</si>
  <si>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</si>
  <si>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</si>
  <si>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</si>
  <si>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</si>
  <si>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</si>
  <si>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</si>
  <si>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</si>
  <si>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</si>
  <si>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</si>
  <si>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</si>
  <si>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</si>
  <si>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</si>
  <si>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</si>
  <si>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</si>
  <si>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</si>
  <si>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</si>
  <si>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</si>
  <si>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</si>
  <si>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</si>
  <si>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</si>
  <si>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</si>
  <si>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</si>
  <si>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</si>
  <si>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</si>
  <si>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</si>
  <si>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</si>
  <si>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</si>
  <si>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</si>
  <si>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</si>
  <si>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</si>
  <si>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</si>
  <si>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</si>
  <si>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</si>
  <si>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</si>
  <si>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</si>
  <si>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</si>
  <si>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</si>
  <si>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</si>
  <si>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</si>
  <si>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</si>
  <si>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</si>
  <si>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</si>
  <si>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</si>
  <si>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</si>
  <si>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</si>
  <si>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</si>
  <si>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</si>
  <si>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</si>
  <si>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</si>
  <si>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</si>
  <si>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</si>
  <si>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</si>
  <si>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</si>
  <si>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</si>
  <si>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</si>
  <si>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</si>
  <si>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</si>
  <si>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</si>
  <si>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</si>
  <si>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</si>
  <si>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</si>
  <si>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</si>
  <si>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</si>
  <si>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</si>
  <si>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</si>
  <si>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</si>
  <si>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</si>
  <si>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</si>
  <si>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</si>
  <si>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</si>
  <si>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</si>
  <si>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</si>
  <si>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</si>
  <si>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</si>
  <si>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</si>
  <si>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</si>
  <si>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</si>
  <si>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</si>
  <si>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</si>
  <si>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</si>
  <si>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</si>
  <si>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</si>
  <si>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</si>
  <si>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</si>
  <si>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</si>
  <si>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</si>
  <si>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</si>
  <si>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</si>
  <si>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</si>
  <si>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</si>
  <si>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</si>
  <si>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</si>
  <si>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</si>
  <si>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</si>
  <si>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</si>
  <si>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</si>
  <si>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</si>
  <si>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</si>
  <si>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</si>
  <si>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</si>
  <si>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</si>
  <si>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</si>
  <si>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</si>
  <si>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</si>
  <si>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</si>
  <si>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</si>
  <si>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</si>
  <si>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</si>
  <si>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</si>
  <si>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</si>
  <si>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</si>
  <si>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</si>
  <si>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</si>
  <si>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</si>
  <si>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</si>
  <si>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</si>
  <si>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</si>
  <si>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</si>
  <si>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</si>
  <si>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</si>
  <si>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</si>
  <si>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</si>
  <si>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</si>
  <si>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</si>
  <si>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</si>
  <si>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</si>
  <si>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</si>
  <si>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</si>
  <si>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</si>
  <si>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</si>
  <si>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</si>
  <si>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</si>
  <si>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</si>
  <si>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</si>
  <si>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</si>
  <si>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</si>
  <si>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</si>
  <si>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</si>
  <si>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</si>
  <si>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</si>
  <si>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</si>
  <si>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</si>
  <si>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</si>
  <si>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</si>
  <si>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</si>
  <si>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</si>
  <si>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</si>
  <si>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</si>
  <si>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</si>
  <si>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</si>
  <si>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</si>
  <si>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</si>
  <si>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</si>
  <si>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</si>
  <si>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</si>
  <si>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</si>
  <si>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</si>
  <si>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</si>
  <si>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</si>
  <si>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</si>
  <si>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</si>
  <si>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</si>
  <si>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</si>
  <si>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</si>
  <si>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</si>
  <si>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</si>
  <si>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</si>
  <si>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</si>
  <si>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</si>
  <si>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</si>
  <si>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</si>
  <si>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</si>
  <si>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</si>
  <si>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</si>
  <si>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</si>
  <si>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</si>
  <si>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</si>
  <si>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</si>
  <si>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</si>
  <si>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</si>
  <si>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</si>
  <si>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</si>
  <si>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</si>
  <si>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</si>
  <si>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</si>
  <si>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</si>
  <si>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</si>
  <si>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</si>
  <si>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</si>
  <si>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</si>
  <si>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</si>
  <si>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</si>
  <si>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</si>
  <si>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</si>
  <si>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</si>
  <si>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</si>
  <si>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</si>
  <si>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</si>
  <si>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</si>
  <si>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</si>
  <si>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</si>
  <si>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</si>
  <si>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</si>
  <si>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</si>
  <si>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</si>
  <si>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</si>
  <si>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</si>
  <si>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</si>
  <si>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</si>
  <si>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</si>
  <si>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</si>
  <si>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</si>
  <si>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</si>
  <si>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</si>
  <si>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</si>
  <si>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</si>
  <si>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</si>
  <si>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</si>
  <si>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</si>
  <si>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</si>
  <si>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</si>
  <si>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</si>
  <si>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</si>
  <si>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</si>
  <si>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</si>
  <si>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</si>
  <si>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</si>
  <si>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</si>
  <si>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</si>
  <si>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</si>
  <si>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</si>
  <si>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</si>
  <si>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</si>
  <si>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</si>
  <si>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</si>
  <si>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</si>
  <si>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</si>
  <si>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</si>
  <si>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</si>
  <si>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</si>
  <si>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</si>
  <si>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</si>
  <si>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</si>
  <si>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</si>
  <si>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</si>
  <si>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</si>
  <si>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</si>
  <si>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</si>
  <si>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</si>
  <si>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</si>
  <si>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</si>
  <si>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</si>
  <si>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</si>
  <si>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</si>
  <si>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</si>
  <si>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</si>
  <si>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</si>
  <si>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</si>
  <si>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</si>
  <si>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</si>
  <si>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</si>
  <si>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</si>
  <si>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</si>
  <si>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</si>
  <si>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</si>
  <si>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</si>
  <si>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</si>
  <si>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</si>
  <si>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</si>
  <si>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</si>
  <si>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</si>
  <si>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</si>
  <si>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</si>
  <si>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</si>
  <si>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</si>
  <si>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</si>
  <si>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</si>
  <si>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</si>
  <si>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</si>
  <si>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</si>
  <si>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</si>
  <si>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</si>
  <si>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</si>
  <si>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</si>
  <si>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</si>
  <si>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</si>
  <si>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</si>
  <si>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</si>
  <si>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</si>
  <si>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</si>
  <si>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</si>
  <si>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</si>
  <si>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</si>
  <si>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</si>
  <si>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</si>
  <si>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</si>
  <si>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</si>
  <si>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</si>
  <si>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</si>
  <si>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</si>
  <si>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</si>
  <si>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</si>
  <si>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</si>
  <si>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</si>
  <si>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</si>
  <si>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</si>
  <si>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</si>
  <si>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</si>
  <si>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</si>
  <si>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</si>
  <si>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</si>
  <si>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</si>
  <si>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</si>
  <si>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</si>
  <si>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</si>
  <si>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</si>
  <si>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</si>
  <si>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</si>
  <si>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</si>
  <si>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</si>
  <si>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</si>
  <si>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</si>
  <si>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</si>
  <si>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</si>
  <si>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</si>
  <si>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</si>
  <si>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</si>
  <si>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</si>
  <si>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</si>
  <si>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</si>
  <si>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</si>
  <si>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</si>
  <si>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</si>
  <si>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</si>
  <si>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</si>
  <si>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</si>
  <si>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</si>
  <si>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</si>
  <si>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</si>
  <si>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</si>
  <si>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</si>
  <si>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</si>
  <si>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</si>
  <si>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</si>
  <si>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</si>
  <si>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</si>
  <si>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</si>
  <si>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</si>
  <si>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</si>
  <si>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</si>
  <si>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</si>
  <si>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</si>
  <si>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</si>
  <si>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</si>
  <si>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</si>
  <si>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</si>
  <si>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</si>
  <si>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</si>
  <si>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</si>
  <si>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</si>
  <si>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</si>
  <si>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</si>
  <si>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</si>
  <si>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</si>
  <si>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</si>
  <si>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</si>
  <si>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</si>
  <si>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</si>
  <si>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</si>
  <si>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</si>
  <si>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</si>
  <si>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</si>
  <si>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</si>
  <si>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</si>
  <si>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</si>
  <si>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</si>
  <si>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</si>
  <si>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</si>
  <si>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</si>
  <si>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</si>
  <si>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</si>
  <si>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</si>
  <si>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</si>
  <si>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</si>
  <si>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</si>
  <si>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</si>
  <si>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</si>
  <si>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</si>
  <si>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</si>
  <si>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</si>
  <si>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</si>
  <si>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</si>
  <si>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</si>
  <si>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</si>
  <si>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</si>
  <si>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</si>
  <si>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</si>
  <si>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</si>
  <si>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</si>
  <si>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</si>
  <si>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</si>
  <si>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</si>
  <si>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</si>
  <si>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</si>
  <si>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</si>
  <si>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</si>
  <si>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</si>
  <si>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</si>
  <si>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</si>
  <si>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</si>
  <si>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</si>
  <si>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</si>
  <si>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</si>
  <si>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</si>
  <si>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</si>
  <si>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</si>
  <si>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</si>
  <si>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</si>
  <si>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</si>
  <si>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</si>
  <si>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</si>
  <si>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</si>
  <si>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</si>
  <si>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</si>
  <si>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</si>
  <si>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</si>
  <si>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</si>
  <si>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</si>
  <si>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</si>
  <si>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</si>
  <si>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</si>
  <si>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</si>
  <si>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</si>
  <si>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</si>
  <si>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</si>
  <si>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</si>
  <si>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</si>
  <si>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</si>
  <si>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</si>
  <si>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</si>
  <si>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</si>
  <si>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</si>
  <si>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</si>
  <si>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</si>
  <si>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</si>
  <si>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</si>
  <si>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</si>
  <si>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</si>
  <si>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</si>
  <si>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</si>
  <si>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</si>
  <si>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</si>
  <si>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</si>
  <si>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</si>
  <si>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</si>
  <si>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</si>
  <si>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</si>
  <si>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</si>
  <si>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</si>
  <si>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</si>
  <si>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</si>
  <si>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</si>
  <si>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</si>
  <si>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</si>
  <si>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</si>
  <si>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</si>
  <si>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</si>
  <si>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</si>
  <si>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</si>
  <si>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</si>
  <si>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</si>
  <si>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</si>
  <si>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</si>
  <si>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</si>
  <si>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</si>
  <si>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</si>
  <si>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</si>
  <si>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</si>
  <si>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</si>
  <si>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</si>
  <si>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</si>
  <si>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</si>
  <si>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</si>
  <si>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</si>
  <si>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</si>
  <si>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</si>
  <si>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</si>
  <si>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</si>
  <si>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</si>
  <si>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</si>
  <si>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</si>
  <si>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</si>
  <si>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</si>
  <si>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</si>
  <si>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</si>
  <si>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</si>
  <si>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</si>
  <si>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</si>
  <si>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</si>
  <si>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</si>
  <si>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</si>
  <si>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</si>
  <si>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</si>
  <si>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</si>
  <si>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</si>
  <si>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</si>
  <si>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</si>
  <si>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</si>
  <si>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</si>
  <si>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</si>
  <si>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</si>
  <si>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</si>
  <si>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</si>
  <si>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</si>
  <si>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</si>
  <si>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</si>
  <si>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</si>
  <si>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</si>
  <si>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</si>
  <si>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</si>
  <si>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</si>
  <si>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</si>
  <si>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</si>
  <si>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</si>
  <si>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</si>
  <si>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</si>
  <si>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</si>
  <si>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</si>
  <si>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</si>
  <si>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</si>
  <si>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</si>
  <si>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</si>
  <si>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</si>
  <si>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</si>
  <si>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</si>
  <si>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</si>
  <si>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</si>
  <si>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</si>
  <si>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</si>
  <si>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</si>
  <si>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</si>
  <si>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</si>
  <si>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</si>
  <si>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</si>
  <si>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</si>
  <si>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</si>
  <si>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</si>
  <si>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</si>
  <si>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</si>
  <si>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</si>
  <si>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</si>
  <si>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</si>
  <si>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</si>
  <si>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</si>
  <si>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</si>
  <si>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</si>
  <si>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</si>
  <si>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</si>
  <si>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</si>
  <si>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</si>
  <si>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</si>
  <si>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</si>
  <si>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</si>
  <si>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</si>
  <si>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</si>
  <si>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</si>
  <si>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</si>
  <si>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</si>
  <si>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</si>
  <si>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</si>
  <si>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</si>
  <si>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</si>
  <si>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</si>
  <si>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</si>
  <si>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</si>
  <si>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</si>
  <si>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</si>
  <si>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</si>
  <si>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</si>
  <si>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</si>
  <si>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</si>
  <si>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</si>
  <si>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</si>
  <si>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</si>
  <si>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</si>
  <si>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</si>
  <si>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</si>
  <si>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</si>
  <si>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</si>
  <si>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</si>
  <si>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</si>
  <si>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</si>
  <si>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</si>
  <si>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</si>
  <si>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</si>
  <si>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</si>
  <si>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</si>
  <si>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</si>
  <si>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</si>
  <si>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</si>
  <si>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</si>
  <si>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</si>
  <si>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</si>
  <si>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</si>
  <si>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</si>
  <si>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</si>
  <si>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</si>
  <si>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</si>
  <si>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</si>
  <si>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</si>
  <si>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</si>
  <si>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</si>
  <si>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</si>
  <si>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</si>
  <si>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</si>
  <si>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</si>
  <si>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</si>
  <si>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</si>
  <si>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</si>
  <si>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</si>
  <si>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</si>
  <si>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</si>
  <si>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</si>
  <si>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</si>
  <si>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</si>
  <si>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</si>
  <si>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</si>
  <si>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</si>
  <si>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</si>
  <si>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</si>
  <si>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</si>
  <si>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</si>
  <si>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</si>
  <si>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</si>
  <si>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</si>
  <si>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</si>
  <si>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</si>
  <si>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</si>
  <si>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</si>
  <si>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</si>
  <si>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</si>
  <si>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</si>
  <si>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</si>
  <si>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</si>
  <si>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</si>
  <si>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</si>
  <si>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</si>
  <si>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</si>
  <si>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</si>
  <si>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</si>
  <si>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</si>
  <si>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</si>
  <si>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</si>
  <si>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</si>
  <si>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</si>
  <si>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</si>
  <si>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</si>
  <si>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</si>
  <si>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</si>
  <si>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</si>
  <si>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</si>
  <si>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</si>
  <si>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</si>
  <si>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</si>
  <si>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</si>
  <si>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</si>
  <si>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</si>
  <si>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</si>
  <si>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</si>
  <si>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</si>
  <si>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</si>
  <si>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</si>
  <si>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</si>
  <si>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</si>
  <si>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</si>
  <si>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</si>
  <si>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</si>
  <si>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</si>
  <si>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</si>
  <si>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</si>
  <si>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</si>
  <si>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</si>
  <si>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</si>
  <si>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</si>
  <si>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</si>
  <si>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</si>
  <si>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</si>
  <si>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</si>
  <si>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</si>
  <si>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</si>
  <si>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</si>
  <si>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</si>
  <si>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</si>
  <si>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</si>
  <si>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</si>
  <si>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</si>
  <si>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</si>
  <si>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</si>
  <si>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</si>
  <si>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</si>
  <si>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</si>
  <si>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</si>
  <si>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</si>
  <si>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</si>
  <si>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</si>
  <si>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</si>
  <si>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</si>
  <si>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</si>
  <si>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</si>
  <si>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</si>
  <si>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</si>
  <si>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</si>
  <si>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</si>
  <si>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</si>
  <si>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</si>
  <si>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</si>
  <si>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</si>
  <si>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</si>
  <si>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</si>
  <si>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</si>
  <si>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</si>
  <si>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</si>
  <si>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</si>
  <si>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</si>
  <si>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</si>
  <si>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</si>
  <si>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</si>
  <si>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</si>
  <si>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</si>
  <si>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</si>
  <si>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</si>
  <si>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</si>
  <si>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</si>
  <si>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</si>
  <si>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</si>
  <si>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</si>
  <si>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</si>
  <si>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</si>
  <si>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</si>
  <si>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</si>
  <si>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</si>
  <si>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</si>
  <si>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</si>
  <si>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</si>
  <si>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</si>
  <si>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</si>
  <si>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</si>
  <si>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</si>
  <si>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</si>
  <si>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</si>
  <si>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</si>
  <si>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</si>
  <si>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</si>
  <si>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</si>
  <si>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</si>
  <si>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</si>
  <si>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</si>
  <si>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</si>
  <si>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</si>
  <si>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</si>
  <si>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</si>
  <si>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</si>
  <si>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</si>
  <si>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</si>
  <si>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</si>
  <si>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</si>
  <si>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</si>
  <si>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</si>
  <si>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</si>
  <si>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</si>
  <si>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</si>
  <si>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</si>
  <si>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</si>
  <si>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</si>
  <si>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</si>
  <si>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</si>
  <si>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</si>
  <si>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</si>
  <si>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</si>
  <si>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</si>
  <si>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</si>
  <si>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</si>
  <si>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</si>
  <si>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</si>
  <si>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</si>
  <si>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</si>
  <si>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</si>
  <si>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</si>
  <si>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</si>
  <si>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</si>
  <si>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</si>
  <si>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</si>
  <si>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</si>
  <si>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</si>
  <si>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</si>
  <si>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</si>
  <si>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</si>
  <si>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</si>
  <si>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</si>
  <si>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</si>
  <si>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</si>
  <si>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</si>
  <si>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</si>
  <si>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</si>
  <si>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</si>
  <si>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</si>
  <si>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</si>
  <si>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</si>
  <si>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</si>
  <si>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</si>
  <si>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</si>
  <si>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</si>
  <si>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</si>
  <si>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</si>
  <si>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</si>
  <si>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</si>
  <si>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</si>
  <si>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</si>
  <si>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</si>
  <si>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</si>
  <si>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</si>
  <si>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</si>
  <si>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</si>
  <si>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</si>
  <si>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</si>
  <si>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</si>
  <si>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</si>
  <si>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</si>
  <si>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</si>
  <si>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</si>
  <si>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</si>
  <si>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</si>
  <si>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</si>
  <si>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</si>
  <si>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</si>
  <si>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</si>
  <si>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</si>
  <si>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</si>
  <si>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</si>
  <si>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</si>
  <si>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</si>
  <si>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</si>
  <si>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</si>
  <si>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</si>
  <si>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</si>
  <si>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</si>
  <si>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</si>
  <si>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</si>
  <si>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</si>
  <si>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</si>
  <si>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</si>
  <si>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</si>
  <si>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</si>
  <si>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</si>
  <si>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</si>
  <si>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</si>
  <si>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</si>
  <si>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</si>
  <si>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</si>
  <si>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</si>
  <si>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</si>
  <si>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</si>
  <si>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</si>
  <si>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</si>
  <si>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</si>
  <si>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</si>
  <si>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</si>
  <si>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</si>
  <si>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</si>
  <si>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</si>
  <si>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</si>
  <si>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</si>
  <si>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</si>
  <si>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</si>
  <si>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</si>
  <si>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</si>
  <si>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</si>
  <si>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</si>
  <si>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</si>
  <si>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</si>
  <si>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</si>
  <si>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</si>
  <si>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</si>
  <si>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</si>
  <si>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</si>
  <si>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</si>
  <si>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</si>
  <si>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</si>
  <si>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</si>
  <si>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</si>
  <si>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</si>
  <si>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</si>
  <si>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</si>
  <si>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</si>
  <si>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</si>
  <si>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</si>
  <si>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</si>
  <si>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</si>
  <si>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</si>
  <si>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</si>
  <si>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</si>
  <si>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</si>
  <si>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</si>
  <si>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</si>
  <si>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</si>
  <si>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</si>
  <si>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</si>
  <si>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</si>
  <si>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</si>
  <si>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</si>
  <si>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</si>
  <si>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</si>
  <si>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</si>
  <si>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</si>
  <si>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</si>
  <si>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</si>
  <si>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</si>
  <si>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</si>
  <si>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</si>
  <si>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</si>
  <si>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</si>
  <si>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</si>
  <si>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</si>
  <si>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</si>
  <si>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</si>
  <si>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</si>
  <si>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</si>
  <si>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</si>
  <si>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</si>
  <si>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</si>
  <si>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</si>
  <si>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</si>
  <si>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</si>
  <si>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</si>
  <si>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</si>
  <si>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</si>
  <si>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</si>
  <si>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</si>
  <si>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</si>
  <si>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</si>
  <si>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</si>
  <si>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</si>
  <si>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</si>
  <si>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</si>
  <si>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</si>
  <si>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</si>
  <si>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</si>
  <si>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</si>
  <si>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</si>
  <si>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</si>
  <si>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</si>
  <si>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</si>
  <si>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</si>
  <si>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</si>
  <si>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</si>
  <si>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</si>
  <si>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</si>
  <si>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</si>
  <si>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</si>
  <si>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</si>
  <si>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</si>
  <si>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</si>
  <si>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</si>
  <si>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</si>
  <si>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</si>
  <si>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</si>
  <si>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</si>
  <si>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</si>
  <si>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</si>
  <si>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</si>
  <si>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</si>
  <si>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</si>
  <si>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</si>
  <si>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</si>
  <si>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</si>
  <si>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</si>
  <si>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</si>
  <si>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</si>
  <si>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</si>
  <si>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</si>
  <si>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</si>
  <si>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</si>
  <si>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</si>
  <si>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</si>
  <si>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</si>
  <si>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</si>
  <si>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</si>
  <si>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</si>
  <si>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</si>
  <si>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</si>
  <si>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</si>
  <si>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</si>
  <si>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</si>
  <si>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</si>
  <si>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</si>
  <si>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</si>
  <si>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</si>
  <si>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</si>
  <si>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</si>
  <si>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</si>
  <si>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</si>
  <si>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</si>
  <si>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</si>
  <si>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</si>
  <si>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</si>
  <si>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</si>
  <si>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</si>
  <si>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</si>
  <si>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</si>
  <si>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</si>
  <si>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</si>
  <si>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</si>
  <si>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</si>
  <si>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</si>
  <si>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</si>
  <si>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</si>
  <si>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</si>
  <si>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</si>
  <si>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</si>
  <si>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</si>
  <si>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</si>
  <si>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</si>
  <si>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</si>
  <si>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</si>
  <si>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</si>
  <si>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</si>
  <si>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</si>
  <si>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</si>
  <si>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</si>
  <si>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</si>
  <si>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</si>
  <si>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</si>
  <si>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</si>
  <si>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</si>
  <si>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</si>
  <si>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</si>
  <si>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</si>
  <si>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</si>
  <si>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</si>
  <si>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</si>
  <si>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</si>
  <si>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</si>
  <si>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</si>
  <si>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</si>
  <si>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</si>
  <si>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</si>
  <si>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</si>
  <si>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</si>
  <si>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</si>
  <si>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</si>
  <si>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</si>
  <si>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</si>
  <si>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</si>
  <si>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</si>
  <si>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</si>
  <si>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</si>
  <si>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</si>
  <si>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</si>
  <si>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</si>
  <si>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</si>
  <si>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</si>
  <si>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</si>
  <si>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</si>
  <si>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</si>
  <si>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</si>
  <si>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</si>
  <si>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</si>
  <si>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</si>
  <si>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</si>
  <si>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</si>
  <si>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</si>
  <si>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</si>
  <si>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</si>
  <si>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</si>
  <si>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</si>
  <si>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</si>
  <si>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</si>
  <si>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</si>
  <si>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</si>
  <si>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</si>
  <si>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</si>
  <si>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</si>
  <si>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</si>
  <si>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</si>
  <si>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</si>
  <si>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</si>
  <si>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</si>
  <si>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</si>
  <si>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</si>
  <si>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</si>
  <si>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</si>
  <si>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</si>
  <si>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</si>
  <si>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</si>
  <si>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</si>
  <si>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</si>
  <si>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</si>
  <si>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</si>
  <si>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</si>
  <si>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</si>
  <si>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</si>
  <si>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</si>
  <si>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</si>
  <si>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</si>
  <si>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</si>
  <si>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</si>
  <si>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</si>
  <si>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</si>
  <si>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</si>
  <si>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</si>
  <si>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</si>
  <si>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</si>
  <si>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</si>
  <si>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</si>
  <si>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</si>
  <si>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</si>
  <si>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</si>
  <si>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</si>
  <si>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</si>
  <si>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</si>
  <si>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</si>
  <si>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</si>
  <si>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</si>
  <si>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</si>
  <si>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</si>
  <si>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</si>
  <si>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</si>
  <si>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</si>
  <si>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</si>
  <si>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</si>
  <si>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</si>
  <si>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</si>
  <si>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</si>
  <si>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</si>
  <si>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</si>
  <si>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</si>
  <si>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</si>
  <si>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</si>
  <si>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</si>
  <si>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</si>
  <si>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</si>
  <si>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</si>
  <si>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</si>
  <si>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</si>
  <si>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</si>
  <si>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</si>
  <si>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</si>
  <si>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</si>
  <si>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</si>
  <si>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</si>
  <si>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</si>
  <si>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</si>
  <si>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</si>
  <si>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</si>
  <si>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</si>
  <si>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</si>
  <si>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</si>
  <si>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</si>
  <si>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</si>
  <si>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</si>
  <si>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</si>
  <si>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</si>
  <si>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</si>
  <si>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</si>
  <si>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</si>
  <si>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</si>
  <si>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</si>
  <si>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</si>
  <si>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</si>
  <si>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</si>
  <si>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</si>
  <si>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</si>
  <si>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</si>
  <si>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</si>
  <si>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</si>
  <si>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</si>
  <si>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</si>
  <si>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</si>
  <si>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</si>
  <si>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</si>
  <si>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</si>
  <si>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</si>
  <si>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</si>
  <si>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</si>
  <si>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</si>
  <si>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</si>
  <si>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</si>
  <si>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</si>
  <si>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</si>
  <si>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</si>
  <si>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</si>
  <si>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</si>
  <si>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</si>
  <si>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</si>
  <si>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</si>
  <si>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</si>
  <si>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</si>
  <si>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</si>
  <si>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</si>
  <si>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</si>
  <si>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</si>
  <si>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</si>
  <si>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</si>
  <si>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</si>
  <si>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</si>
  <si>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</si>
  <si>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</si>
  <si>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</si>
  <si>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</si>
  <si>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</si>
  <si>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</si>
  <si>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</si>
  <si>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</si>
  <si>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</si>
  <si>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</si>
  <si>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</si>
  <si>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</si>
  <si>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</si>
  <si>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</si>
  <si>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</si>
  <si>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</si>
  <si>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</si>
  <si>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</si>
  <si>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</si>
  <si>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</si>
  <si>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</si>
  <si>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</si>
  <si>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</si>
  <si>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</si>
  <si>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</si>
  <si>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</si>
  <si>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</si>
  <si>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</si>
  <si>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</si>
  <si>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</si>
  <si>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</si>
  <si>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</si>
  <si>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</si>
  <si>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</si>
  <si>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</si>
  <si>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</si>
  <si>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</si>
  <si>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</si>
  <si>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</si>
  <si>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</si>
  <si>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</si>
  <si>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</si>
  <si>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</si>
  <si>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</si>
  <si>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</si>
  <si>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</si>
  <si>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</si>
  <si>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</si>
  <si>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</si>
  <si>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</si>
  <si>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</si>
  <si>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</si>
  <si>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</si>
  <si>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</si>
  <si>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</si>
  <si>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</si>
  <si>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</si>
  <si>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</si>
  <si>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</si>
  <si>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</si>
  <si>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</si>
  <si>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</si>
  <si>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</si>
  <si>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</si>
  <si>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</si>
  <si>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</si>
  <si>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</si>
  <si>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</si>
  <si>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</si>
  <si>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</si>
  <si>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</si>
  <si>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</si>
  <si>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</si>
  <si>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</si>
  <si>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</si>
  <si>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</si>
  <si>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</si>
  <si>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</si>
  <si>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</si>
  <si>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</si>
  <si>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</si>
  <si>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</si>
  <si>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</si>
  <si>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</si>
  <si>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</si>
  <si>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</si>
  <si>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</si>
  <si>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</si>
  <si>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</si>
  <si>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</si>
  <si>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</si>
  <si>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</si>
  <si>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</si>
  <si>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</si>
  <si>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</si>
  <si>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</si>
  <si>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</si>
  <si>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</si>
  <si>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</si>
  <si>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</si>
  <si>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</si>
  <si>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</si>
  <si>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</si>
  <si>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</si>
  <si>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</si>
  <si>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</si>
  <si>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</si>
  <si>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</si>
  <si>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</si>
  <si>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</si>
  <si>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</si>
  <si>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</si>
  <si>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</si>
  <si>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</si>
  <si>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</si>
  <si>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</si>
  <si>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</si>
  <si>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</si>
  <si>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</si>
  <si>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</si>
  <si>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</si>
  <si>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</si>
  <si>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</si>
  <si>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</si>
  <si>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</si>
  <si>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</si>
  <si>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</si>
  <si>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</si>
  <si>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</si>
  <si>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</si>
  <si>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</si>
  <si>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</si>
  <si>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</si>
  <si>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</si>
  <si>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</si>
  <si>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</si>
  <si>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</si>
  <si>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</si>
  <si>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</si>
  <si>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</si>
  <si>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</si>
  <si>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</si>
  <si>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</si>
  <si>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</si>
  <si>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</si>
  <si>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</si>
  <si>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</si>
  <si>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</si>
  <si>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</si>
  <si>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</si>
  <si>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</si>
  <si>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</si>
  <si>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</si>
  <si>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</si>
  <si>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</si>
  <si>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</si>
  <si>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</si>
  <si>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</si>
  <si>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</si>
  <si>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</si>
  <si>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</si>
  <si>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</si>
  <si>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</si>
  <si>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</si>
  <si>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</si>
  <si>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</si>
  <si>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</si>
  <si>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</si>
  <si>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</si>
  <si>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</si>
  <si>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</si>
  <si>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</si>
  <si>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</si>
  <si>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</si>
  <si>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</si>
  <si>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</si>
  <si>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</si>
  <si>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</si>
  <si>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</si>
  <si>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</si>
  <si>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</si>
  <si>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</si>
  <si>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</si>
  <si>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</si>
  <si>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</si>
  <si>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</si>
  <si>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</si>
  <si>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</si>
  <si>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</si>
  <si>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</si>
  <si>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</si>
  <si>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</si>
  <si>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</si>
  <si>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</si>
  <si>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</si>
  <si>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</si>
  <si>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</si>
  <si>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</si>
  <si>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</si>
  <si>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</si>
  <si>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</si>
  <si>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</si>
  <si>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</si>
  <si>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</si>
  <si>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</si>
  <si>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</si>
  <si>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</si>
  <si>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</si>
  <si>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</si>
  <si>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</si>
  <si>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</si>
  <si>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</si>
  <si>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</si>
  <si>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</si>
  <si>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</si>
  <si>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</si>
  <si>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</si>
  <si>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</si>
  <si>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</si>
  <si>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</si>
  <si>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</si>
  <si>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</si>
  <si>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</si>
  <si>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</si>
  <si>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</si>
  <si>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</si>
  <si>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</si>
  <si>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</si>
  <si>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</si>
  <si>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</si>
  <si>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</si>
  <si>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</si>
  <si>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</si>
  <si>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</si>
  <si>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</si>
  <si>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</si>
  <si>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</si>
  <si>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</si>
  <si>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</si>
  <si>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</si>
  <si>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</si>
  <si>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</si>
  <si>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</si>
  <si>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</si>
  <si>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</si>
  <si>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</si>
  <si>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</si>
  <si>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</si>
  <si>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</si>
  <si>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</si>
  <si>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</si>
  <si>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</si>
  <si>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</si>
  <si>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</si>
  <si>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</si>
  <si>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</si>
  <si>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</si>
  <si>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</si>
  <si>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</si>
  <si>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</si>
  <si>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</si>
  <si>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</si>
  <si>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</si>
  <si>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</si>
  <si>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</si>
  <si>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</si>
  <si>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</si>
  <si>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</si>
  <si>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</si>
  <si>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</si>
  <si>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</si>
  <si>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</si>
  <si>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</si>
  <si>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</si>
  <si>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</si>
  <si>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</si>
  <si>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</si>
  <si>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</si>
  <si>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</si>
  <si>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</si>
  <si>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</si>
  <si>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</si>
  <si>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</si>
  <si>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</si>
  <si>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</si>
  <si>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</si>
  <si>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</si>
  <si>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</si>
  <si>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</si>
  <si>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</si>
  <si>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</si>
  <si>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</si>
  <si>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</si>
  <si>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</si>
  <si>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</si>
  <si>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</si>
  <si>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</si>
  <si>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</si>
  <si>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</si>
  <si>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</si>
  <si>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</si>
  <si>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</si>
  <si>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</si>
  <si>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</si>
  <si>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</si>
  <si>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</si>
  <si>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</si>
  <si>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</si>
  <si>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</si>
  <si>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</si>
  <si>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</si>
  <si>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</si>
  <si>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</si>
  <si>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</si>
  <si>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</si>
  <si>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</si>
  <si>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</si>
  <si>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</si>
  <si>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</si>
  <si>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</si>
  <si>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</si>
  <si>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</si>
  <si>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</si>
  <si>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</si>
  <si>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</si>
  <si>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</si>
  <si>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</si>
  <si>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</si>
  <si>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</si>
  <si>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</si>
  <si>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</si>
  <si>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</si>
  <si>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</si>
  <si>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</si>
  <si>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</si>
  <si>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</si>
  <si>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</si>
  <si>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</si>
  <si>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</si>
  <si>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</si>
  <si>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</si>
  <si>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</si>
  <si>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</si>
  <si>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</si>
  <si>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</si>
  <si>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</si>
  <si>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</si>
  <si>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</si>
  <si>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</si>
  <si>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</si>
  <si>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</si>
  <si>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</si>
  <si>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</si>
  <si>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</si>
  <si>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</si>
  <si>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</si>
  <si>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</si>
  <si>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</si>
  <si>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</si>
  <si>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</si>
  <si>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</si>
  <si>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</si>
  <si>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</si>
  <si>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</si>
  <si>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</si>
  <si>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</si>
  <si>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</si>
  <si>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</si>
  <si>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</si>
  <si>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</si>
  <si>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</si>
  <si>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</si>
  <si>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</si>
  <si>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</si>
  <si>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</si>
  <si>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</si>
  <si>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</si>
  <si>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</si>
  <si>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</si>
  <si>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</si>
  <si>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</si>
  <si>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</si>
  <si>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</si>
  <si>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</si>
  <si>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</si>
  <si>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</si>
  <si>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</si>
  <si>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</si>
  <si>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</si>
  <si>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</si>
  <si>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</si>
  <si>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</si>
  <si>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</si>
  <si>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</si>
  <si>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</si>
  <si>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</si>
  <si>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</si>
  <si>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</si>
  <si>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</si>
  <si>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</si>
  <si>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</si>
  <si>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</si>
  <si>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</si>
  <si>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</si>
  <si>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</si>
  <si>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</si>
  <si>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</si>
  <si>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</si>
  <si>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</si>
  <si>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</si>
  <si>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</si>
  <si>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</si>
  <si>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</si>
  <si>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</si>
  <si>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</si>
  <si>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</si>
  <si>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</si>
  <si>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</si>
  <si>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</si>
  <si>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</si>
  <si>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</si>
  <si>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</si>
  <si>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</si>
  <si>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</si>
  <si>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</si>
  <si>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</si>
  <si>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</si>
  <si>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</si>
  <si>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</si>
  <si>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</si>
  <si>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</si>
  <si>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</si>
  <si>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</si>
  <si>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</si>
  <si>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</si>
  <si>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</si>
  <si>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</si>
  <si>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</si>
  <si>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</si>
  <si>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</si>
  <si>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</si>
  <si>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</si>
  <si>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</si>
  <si>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</si>
  <si>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</si>
  <si>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</si>
  <si>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</si>
  <si>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</si>
  <si>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</si>
  <si>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</si>
  <si>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</si>
  <si>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</si>
  <si>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</si>
  <si>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</si>
  <si>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</si>
  <si>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</si>
  <si>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</si>
  <si>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</si>
  <si>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</si>
  <si>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</si>
  <si>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</si>
  <si>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</si>
  <si>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</si>
  <si>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</si>
  <si>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</si>
  <si>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</si>
  <si>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</si>
  <si>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</si>
  <si>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</si>
  <si>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</si>
  <si>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</si>
  <si>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</si>
  <si>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</si>
  <si>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</si>
  <si>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</si>
  <si>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</si>
  <si>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</si>
  <si>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</si>
  <si>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</si>
  <si>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</si>
  <si>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</si>
  <si>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</si>
  <si>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</si>
  <si>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</si>
  <si>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</si>
  <si>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</si>
  <si>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</si>
  <si>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</si>
  <si>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</si>
  <si>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</si>
  <si>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</si>
  <si>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</si>
  <si>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</si>
  <si>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</si>
  <si>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</si>
  <si>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</si>
  <si>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</si>
  <si>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</si>
  <si>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</si>
  <si>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</si>
  <si>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</si>
  <si>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</si>
  <si>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</si>
  <si>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</si>
  <si>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</si>
  <si>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</si>
  <si>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</si>
  <si>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</si>
  <si>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</si>
  <si>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</si>
  <si>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</si>
  <si>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</si>
  <si>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</si>
  <si>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</si>
  <si>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</si>
  <si>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</si>
  <si>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</si>
  <si>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</si>
  <si>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</si>
  <si>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</si>
  <si>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</si>
  <si>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</si>
  <si>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</si>
  <si>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</si>
  <si>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</si>
  <si>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</si>
  <si>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</si>
  <si>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</si>
  <si>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</si>
  <si>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</si>
  <si>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</si>
  <si>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</si>
  <si>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</si>
  <si>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</si>
  <si>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</si>
  <si>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</si>
  <si>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</si>
  <si>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</si>
  <si>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</si>
  <si>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</si>
  <si>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</si>
  <si>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</si>
  <si>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</si>
  <si>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</si>
  <si>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</si>
  <si>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</si>
  <si>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</si>
  <si>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</si>
  <si>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</si>
  <si>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</si>
  <si>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</si>
  <si>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</si>
  <si>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</si>
  <si>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</si>
  <si>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</si>
  <si>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</si>
  <si>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</si>
  <si>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</si>
  <si>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</si>
  <si>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</si>
  <si>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</si>
  <si>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</si>
  <si>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</si>
  <si>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</si>
  <si>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</si>
  <si>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</si>
  <si>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</si>
  <si>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</si>
  <si>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</si>
  <si>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</si>
  <si>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</si>
  <si>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</si>
  <si>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</si>
  <si>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</si>
  <si>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</si>
  <si>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</si>
  <si>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</si>
  <si>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</si>
  <si>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</si>
  <si>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</si>
  <si>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</si>
  <si>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</si>
  <si>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</si>
  <si>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</si>
  <si>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</si>
  <si>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</si>
  <si>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</si>
  <si>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</si>
  <si>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</si>
  <si>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</si>
  <si>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</si>
  <si>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</si>
  <si>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</si>
  <si>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</si>
  <si>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</si>
  <si>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</si>
  <si>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</si>
  <si>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</si>
  <si>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</si>
  <si>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</si>
  <si>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</si>
  <si>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</si>
  <si>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</si>
  <si>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</si>
  <si>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</si>
  <si>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</si>
  <si>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</si>
  <si>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</si>
  <si>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</si>
  <si>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</si>
  <si>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</si>
  <si>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</si>
  <si>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</si>
  <si>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</si>
  <si>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</si>
  <si>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</si>
  <si>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</si>
  <si>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</si>
  <si>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</si>
  <si>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</si>
  <si>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</si>
  <si>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</si>
  <si>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</si>
  <si>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</si>
  <si>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</si>
  <si>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</si>
  <si>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</si>
  <si>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</si>
  <si>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</si>
  <si>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</si>
  <si>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</si>
  <si>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</si>
  <si>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</si>
  <si>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</si>
  <si>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</si>
  <si>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</si>
  <si>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</si>
  <si>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</si>
  <si>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</si>
  <si>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</si>
  <si>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</si>
  <si>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</si>
  <si>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</si>
  <si>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</si>
  <si>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</si>
  <si>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</si>
  <si>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</si>
  <si>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</si>
  <si>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</si>
  <si>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</si>
  <si>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</si>
  <si>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</si>
  <si>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</si>
  <si>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</si>
  <si>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</si>
  <si>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</si>
  <si>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</si>
  <si>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</si>
  <si>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</si>
  <si>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</si>
  <si>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</si>
  <si>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</si>
  <si>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</si>
  <si>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</si>
  <si>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</si>
  <si>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</si>
  <si>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</si>
  <si>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</si>
  <si>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</si>
  <si>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</si>
  <si>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</si>
  <si>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</si>
  <si>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</si>
  <si>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</si>
  <si>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</si>
  <si>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</si>
  <si>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</si>
  <si>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</si>
  <si>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</si>
  <si>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</si>
  <si>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</si>
  <si>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</si>
  <si>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</si>
  <si>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</si>
  <si>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</si>
  <si>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</si>
  <si>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</si>
  <si>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</si>
  <si>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</si>
  <si>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</si>
  <si>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</si>
  <si>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</si>
  <si>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</si>
  <si>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</si>
  <si>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</si>
  <si>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</si>
  <si>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</si>
  <si>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</si>
  <si>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</si>
  <si>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</si>
  <si>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</si>
  <si>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</si>
  <si>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</si>
  <si>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</si>
  <si>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</si>
  <si>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</si>
  <si>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</si>
  <si>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</si>
  <si>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</si>
  <si>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</si>
  <si>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</si>
  <si>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</si>
  <si>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</si>
  <si>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</si>
  <si>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</si>
  <si>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</si>
  <si>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</si>
  <si>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</si>
  <si>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</si>
  <si>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</si>
  <si>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</si>
  <si>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</si>
  <si>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</si>
  <si>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</si>
  <si>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</si>
  <si>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</si>
  <si>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</si>
  <si>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</si>
  <si>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</si>
  <si>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</si>
  <si>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</si>
  <si>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</si>
  <si>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</si>
  <si>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</si>
  <si>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</si>
  <si>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</si>
  <si>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</si>
  <si>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</si>
  <si>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</si>
  <si>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</si>
  <si>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</si>
  <si>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</si>
  <si>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</si>
  <si>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</si>
  <si>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</si>
  <si>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</si>
  <si>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</si>
  <si>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</si>
  <si>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</si>
  <si>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</si>
  <si>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</si>
  <si>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</si>
  <si>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</si>
  <si>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</si>
  <si>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</si>
  <si>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</si>
  <si>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</si>
  <si>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</si>
  <si>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</si>
  <si>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</si>
  <si>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</si>
  <si>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</si>
  <si>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</si>
  <si>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</si>
  <si>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</si>
  <si>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</si>
  <si>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</si>
  <si>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</si>
  <si>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</si>
  <si>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</si>
  <si>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</si>
  <si>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</si>
  <si>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</si>
  <si>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</si>
  <si>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</si>
  <si>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</si>
  <si>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</si>
  <si>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</si>
  <si>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</si>
  <si>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</si>
  <si>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</si>
  <si>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</si>
  <si>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</si>
  <si>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</si>
  <si>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</si>
  <si>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</si>
  <si>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</si>
  <si>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</si>
  <si>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</si>
  <si>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</si>
  <si>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</si>
  <si>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</si>
  <si>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</si>
  <si>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</si>
  <si>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</si>
  <si>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</si>
  <si>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</si>
  <si>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</si>
  <si>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</si>
  <si>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</si>
  <si>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</si>
  <si>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</si>
  <si>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</si>
  <si>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</si>
  <si>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</si>
  <si>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</si>
  <si>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</si>
  <si>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</si>
  <si>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</si>
  <si>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</si>
  <si>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</si>
  <si>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</si>
  <si>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</si>
  <si>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</si>
  <si>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</si>
  <si>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</si>
  <si>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</si>
  <si>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</si>
  <si>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</si>
  <si>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</si>
  <si>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</si>
  <si>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</si>
  <si>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</si>
  <si>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</si>
  <si>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</si>
  <si>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</si>
  <si>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</si>
  <si>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</si>
  <si>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</si>
  <si>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</si>
  <si>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</si>
  <si>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</si>
  <si>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</si>
  <si>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</si>
  <si>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</si>
  <si>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</si>
  <si>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</si>
  <si>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</si>
  <si>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</si>
  <si>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</si>
  <si>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</si>
  <si>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</si>
  <si>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</si>
  <si>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</si>
  <si>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</si>
  <si>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</si>
  <si>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</si>
  <si>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</si>
  <si>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</si>
  <si>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</si>
  <si>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</si>
  <si>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</si>
  <si>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</si>
  <si>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</si>
  <si>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</si>
  <si>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</si>
  <si>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</si>
  <si>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</si>
  <si>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</si>
  <si>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</si>
  <si>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</si>
  <si>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</si>
  <si>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</si>
  <si>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</si>
  <si>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</si>
  <si>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</si>
  <si>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</si>
  <si>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</si>
  <si>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</si>
  <si>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</si>
  <si>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</si>
  <si>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</si>
  <si>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</si>
  <si>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</si>
  <si>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</si>
  <si>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</si>
  <si>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</si>
  <si>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</si>
  <si>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</si>
  <si>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</si>
  <si>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</si>
  <si>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</si>
  <si>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</si>
  <si>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</si>
  <si>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</si>
  <si>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</si>
  <si>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</si>
  <si>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</si>
  <si>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</si>
  <si>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</si>
  <si>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</si>
  <si>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</si>
  <si>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</si>
  <si>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</si>
  <si>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</si>
  <si>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</si>
  <si>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</si>
  <si>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</si>
  <si>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</si>
  <si>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</si>
  <si>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</si>
  <si>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</si>
  <si>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</si>
  <si>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</si>
  <si>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</si>
  <si>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</si>
  <si>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</si>
  <si>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</si>
  <si>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</si>
  <si>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</si>
  <si>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</si>
  <si>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</si>
  <si>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</si>
  <si>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</si>
  <si>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</si>
  <si>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</si>
  <si>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</si>
  <si>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</si>
  <si>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</si>
  <si>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</si>
  <si>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</si>
  <si>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</si>
  <si>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</si>
  <si>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</si>
  <si>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</si>
  <si>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</si>
  <si>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</si>
  <si>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</si>
  <si>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</si>
  <si>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</si>
  <si>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</si>
  <si>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</si>
  <si>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</si>
  <si>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</si>
  <si>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</si>
  <si>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</si>
  <si>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</si>
  <si>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</si>
  <si>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</si>
  <si>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</si>
  <si>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</si>
  <si>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</si>
  <si>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</si>
  <si>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</si>
  <si>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</si>
  <si>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</si>
  <si>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</si>
  <si>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</si>
  <si>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</si>
  <si>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</si>
  <si>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</si>
  <si>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</si>
  <si>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</si>
  <si>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</si>
  <si>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</si>
  <si>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</si>
  <si>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</si>
  <si>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</si>
  <si>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</si>
  <si>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</si>
  <si>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</si>
  <si>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</si>
  <si>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</si>
  <si>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</si>
  <si>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</si>
  <si>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</si>
  <si>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</si>
  <si>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</si>
  <si>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</si>
  <si>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</si>
  <si>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</si>
  <si>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</si>
  <si>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</si>
  <si>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</si>
  <si>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</si>
  <si>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</si>
  <si>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</si>
  <si>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</si>
  <si>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</si>
  <si>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</si>
  <si>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</si>
  <si>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</si>
  <si>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</si>
  <si>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</si>
  <si>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</si>
  <si>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</si>
  <si>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</si>
  <si>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</si>
  <si>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</si>
  <si>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</si>
  <si>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</si>
  <si>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</si>
  <si>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</si>
  <si>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</si>
  <si>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</si>
  <si>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</si>
  <si>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</si>
  <si>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</si>
  <si>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</si>
  <si>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</si>
  <si>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</si>
  <si>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</si>
  <si>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</si>
  <si>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</si>
  <si>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</si>
  <si>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</si>
  <si>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</si>
  <si>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</si>
  <si>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</si>
  <si>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</si>
  <si>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</si>
  <si>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</si>
  <si>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</si>
  <si>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</si>
  <si>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</si>
  <si>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</si>
  <si>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</si>
  <si>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</si>
  <si>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</si>
  <si>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</si>
  <si>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</si>
  <si>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</si>
  <si>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</si>
  <si>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</si>
  <si>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</si>
  <si>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</si>
  <si>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</si>
  <si>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</si>
  <si>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</si>
  <si>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</si>
  <si>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</si>
  <si>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</si>
  <si>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</si>
  <si>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</si>
  <si>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</si>
  <si>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</si>
  <si>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</si>
  <si>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</si>
  <si>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</si>
  <si>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</si>
  <si>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</si>
  <si>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</si>
  <si>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</si>
  <si>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</si>
  <si>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</si>
  <si>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</si>
  <si>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</si>
  <si>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</si>
  <si>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</si>
  <si>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</si>
  <si>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</si>
  <si>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</si>
  <si>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</si>
  <si>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</si>
  <si>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</si>
  <si>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</si>
  <si>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</si>
  <si>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</si>
  <si>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</si>
  <si>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</si>
  <si>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</si>
  <si>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</si>
  <si>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</si>
  <si>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</si>
  <si>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</si>
  <si>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</si>
  <si>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</si>
  <si>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</si>
  <si>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</si>
  <si>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</si>
  <si>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</si>
  <si>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</si>
  <si>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</si>
  <si>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</si>
  <si>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</si>
  <si>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</si>
  <si>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</si>
  <si>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</si>
  <si>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</si>
  <si>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</si>
  <si>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</si>
  <si>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</si>
  <si>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</si>
  <si>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</si>
  <si>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</si>
  <si>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</si>
  <si>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</si>
  <si>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</si>
  <si>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</si>
  <si>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</si>
  <si>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</si>
  <si>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</si>
  <si>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</si>
  <si>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</si>
  <si>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</si>
  <si>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</si>
  <si>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</si>
  <si>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</si>
  <si>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</si>
  <si>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</si>
  <si>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</si>
  <si>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</si>
  <si>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</si>
  <si>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</si>
  <si>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</si>
  <si>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</si>
  <si>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</si>
  <si>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</si>
  <si>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</si>
  <si>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</si>
  <si>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</si>
  <si>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</si>
  <si>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</si>
  <si>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</si>
  <si>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</si>
  <si>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</si>
  <si>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</si>
  <si>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</si>
  <si>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</si>
  <si>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</si>
  <si>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</si>
  <si>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</si>
  <si>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</si>
  <si>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</si>
  <si>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</si>
  <si>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</si>
  <si>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</si>
  <si>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</si>
  <si>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</si>
  <si>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</si>
  <si>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</si>
  <si>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</si>
  <si>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</si>
  <si>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</si>
  <si>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</si>
  <si>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</si>
  <si>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</si>
  <si>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</si>
  <si>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</si>
  <si>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</si>
  <si>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</si>
  <si>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</si>
  <si>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</si>
  <si>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</si>
  <si>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</si>
  <si>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</si>
  <si>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</si>
  <si>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</si>
  <si>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</si>
  <si>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</si>
  <si>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</si>
  <si>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</si>
  <si>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</si>
  <si>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</si>
  <si>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</si>
  <si>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</si>
  <si>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</si>
  <si>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</si>
  <si>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</si>
  <si>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</si>
  <si>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</si>
  <si>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</si>
  <si>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</si>
  <si>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</si>
  <si>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</si>
  <si>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</si>
  <si>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</si>
  <si>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</si>
  <si>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</si>
  <si>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</si>
  <si>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</si>
  <si>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</si>
  <si>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</si>
  <si>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</si>
  <si>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</si>
  <si>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</si>
  <si>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</si>
  <si>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</si>
  <si>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</si>
  <si>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</si>
  <si>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</si>
  <si>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</si>
  <si>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</si>
  <si>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</si>
  <si>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</si>
  <si>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</si>
  <si>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</si>
  <si>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</si>
  <si>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</si>
  <si>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</si>
  <si>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</si>
  <si>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</si>
  <si>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</si>
  <si>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</si>
  <si>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</si>
  <si>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</si>
  <si>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</si>
  <si>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</si>
  <si>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</si>
  <si>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</si>
  <si>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</si>
  <si>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</si>
  <si>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</si>
  <si>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</si>
  <si>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</si>
  <si>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</si>
  <si>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</si>
  <si>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</si>
  <si>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</si>
  <si>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</si>
  <si>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</si>
  <si>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</si>
  <si>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</si>
  <si>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</si>
  <si>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</si>
  <si>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</si>
  <si>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</si>
  <si>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</si>
  <si>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</si>
  <si>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</si>
  <si>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</si>
  <si>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</si>
  <si>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</si>
  <si>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</si>
  <si>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</si>
  <si>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</si>
  <si>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</si>
  <si>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</si>
  <si>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</si>
  <si>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</si>
  <si>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</si>
  <si>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</si>
  <si>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</si>
  <si>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</si>
  <si>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</si>
  <si>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</si>
  <si>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</si>
  <si>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</si>
  <si>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</si>
  <si>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</si>
  <si>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</si>
  <si>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</si>
  <si>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</si>
  <si>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</si>
  <si>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</si>
  <si>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</si>
  <si>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</si>
  <si>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</si>
  <si>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</si>
  <si>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</si>
  <si>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</si>
  <si>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</si>
  <si>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</si>
  <si>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</si>
  <si>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</si>
  <si>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</si>
  <si>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</si>
  <si>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</si>
  <si>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</si>
  <si>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</si>
  <si>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</si>
  <si>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</si>
  <si>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</si>
  <si>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</si>
  <si>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</si>
  <si>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</si>
  <si>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</si>
  <si>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</si>
  <si>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</si>
  <si>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</si>
  <si>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</si>
  <si>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</si>
  <si>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</si>
  <si>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</si>
  <si>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</si>
  <si>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</si>
  <si>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</si>
  <si>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</si>
  <si>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</si>
  <si>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</si>
  <si>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</si>
  <si>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</si>
  <si>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</si>
  <si>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</si>
  <si>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</si>
  <si>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</si>
  <si>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</si>
  <si>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</si>
  <si>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</si>
  <si>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</si>
  <si>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</si>
  <si>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</si>
  <si>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</si>
  <si>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</si>
  <si>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</si>
  <si>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</si>
  <si>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</si>
  <si>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</si>
  <si>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</si>
  <si>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</si>
  <si>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</si>
  <si>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</si>
  <si>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</si>
  <si>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</si>
  <si>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</si>
  <si>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</si>
  <si>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</si>
  <si>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</si>
  <si>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</si>
  <si>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</si>
  <si>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</si>
  <si>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</si>
  <si>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</si>
  <si>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</si>
  <si>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</si>
  <si>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</si>
  <si>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</si>
  <si>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</si>
  <si>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</si>
  <si>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</si>
  <si>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</si>
  <si>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</si>
  <si>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</si>
  <si>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</si>
  <si>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</si>
  <si>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</si>
  <si>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</si>
  <si>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</si>
  <si>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</si>
  <si>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</si>
  <si>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</si>
  <si>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</si>
  <si>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</si>
  <si>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</si>
  <si>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</si>
  <si>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</si>
  <si>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</si>
  <si>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</si>
  <si>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</si>
  <si>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</si>
  <si>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</si>
  <si>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</si>
  <si>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</si>
  <si>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</si>
  <si>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</si>
  <si>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</si>
  <si>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</si>
  <si>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</si>
  <si>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</si>
  <si>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</si>
  <si>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</si>
  <si>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</si>
  <si>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</si>
  <si>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</si>
  <si>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</si>
  <si>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</si>
  <si>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</si>
  <si>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</si>
  <si>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</si>
  <si>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</si>
  <si>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</si>
  <si>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</si>
  <si>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</si>
  <si>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</si>
  <si>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</si>
  <si>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</si>
  <si>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</si>
  <si>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</si>
  <si>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</si>
  <si>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</si>
  <si>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</si>
  <si>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</si>
  <si>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</si>
  <si>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</si>
  <si>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</si>
  <si>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</si>
  <si>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</si>
  <si>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</si>
  <si>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</si>
  <si>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</si>
  <si>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</si>
  <si>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</si>
  <si>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</si>
  <si>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</si>
  <si>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</si>
  <si>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</si>
  <si>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</si>
  <si>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</si>
  <si>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</si>
  <si>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</si>
  <si>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</si>
  <si>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</si>
  <si>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</si>
  <si>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</si>
  <si>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</si>
  <si>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</si>
  <si>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</si>
  <si>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</si>
  <si>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</si>
  <si>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</si>
  <si>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</si>
  <si>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</si>
  <si>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</si>
  <si>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</si>
  <si>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</si>
  <si>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</si>
  <si>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</si>
  <si>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</si>
  <si>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</si>
  <si>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</si>
  <si>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</si>
  <si>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</si>
  <si>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</si>
  <si>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</si>
  <si>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</si>
  <si>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</si>
  <si>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</si>
  <si>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</si>
  <si>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</si>
  <si>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</si>
  <si>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</si>
  <si>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</si>
  <si>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</si>
  <si>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</si>
  <si>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</si>
  <si>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</si>
  <si>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</si>
  <si>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</si>
  <si>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</si>
  <si>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</si>
  <si>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</si>
  <si>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</si>
  <si>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</si>
  <si>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</si>
  <si>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</si>
  <si>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</si>
  <si>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</si>
  <si>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</si>
  <si>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</si>
  <si>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</si>
  <si>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</si>
  <si>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</si>
  <si>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</si>
  <si>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</si>
  <si>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</si>
  <si>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</si>
  <si>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</si>
  <si>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</si>
  <si>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</si>
  <si>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</si>
  <si>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</si>
  <si>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</si>
  <si>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</si>
  <si>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</si>
  <si>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</si>
  <si>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</si>
  <si>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</si>
  <si>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</si>
  <si>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</si>
  <si>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</si>
  <si>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</si>
  <si>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</si>
  <si>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</si>
  <si>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</si>
  <si>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</si>
  <si>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</si>
  <si>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</si>
  <si>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</si>
  <si>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</si>
  <si>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</si>
  <si>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</si>
  <si>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</si>
  <si>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</si>
  <si>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</si>
  <si>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</si>
  <si>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</si>
  <si>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</si>
  <si>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</si>
  <si>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</si>
  <si>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</si>
  <si>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</si>
  <si>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</si>
  <si>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</si>
  <si>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</si>
  <si>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</si>
  <si>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</si>
  <si>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</si>
  <si>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</si>
  <si>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</si>
  <si>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</si>
  <si>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</si>
  <si>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</si>
  <si>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</si>
  <si>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</si>
  <si>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</si>
  <si>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</si>
  <si>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</si>
  <si>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</si>
  <si>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</si>
  <si>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</si>
  <si>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</si>
  <si>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</si>
  <si>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</si>
  <si>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</si>
  <si>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</si>
  <si>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</si>
  <si>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</si>
  <si>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</si>
  <si>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</si>
  <si>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</si>
  <si>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</si>
  <si>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</si>
  <si>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</si>
  <si>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</si>
  <si>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</si>
  <si>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</si>
  <si>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</si>
  <si>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</si>
  <si>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</si>
  <si>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</si>
  <si>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</si>
  <si>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</si>
  <si>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</si>
  <si>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</si>
  <si>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</si>
  <si>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</si>
  <si>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</si>
  <si>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</si>
  <si>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</si>
  <si>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</si>
  <si>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</si>
  <si>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</si>
  <si>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</si>
  <si>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</si>
  <si>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</si>
  <si>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</si>
  <si>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</si>
  <si>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</si>
  <si>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</si>
  <si>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</si>
  <si>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</si>
  <si>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</si>
  <si>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</si>
  <si>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</si>
  <si>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</si>
  <si>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</si>
  <si>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</si>
  <si>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</si>
  <si>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</si>
  <si>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</si>
  <si>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</si>
  <si>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</si>
  <si>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</si>
  <si>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</si>
  <si>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</si>
  <si>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</si>
  <si>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</si>
  <si>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</si>
  <si>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</si>
  <si>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</si>
  <si>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</si>
  <si>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</si>
  <si>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</si>
  <si>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</si>
  <si>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</si>
  <si>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</si>
  <si>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</si>
  <si>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</si>
  <si>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</si>
  <si>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</si>
  <si>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</si>
  <si>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</si>
  <si>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</si>
  <si>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</si>
  <si>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</si>
  <si>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</si>
  <si>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</si>
  <si>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</si>
  <si>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</si>
  <si>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</si>
  <si>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</si>
  <si>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</si>
  <si>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</si>
  <si>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</si>
  <si>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</si>
  <si>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</si>
  <si>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</si>
  <si>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</si>
  <si>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</si>
  <si>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</si>
  <si>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</si>
  <si>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</si>
  <si>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</si>
  <si>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</si>
  <si>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</si>
  <si>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</si>
  <si>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</si>
  <si>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</si>
  <si>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</si>
  <si>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</si>
  <si>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</si>
  <si>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</si>
  <si>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</si>
  <si>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</si>
  <si>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</si>
  <si>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</si>
  <si>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</si>
  <si>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</si>
  <si>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</si>
  <si>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</si>
  <si>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</si>
  <si>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</si>
  <si>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</si>
  <si>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</si>
  <si>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</si>
  <si>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</si>
  <si>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</si>
  <si>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</si>
  <si>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</si>
  <si>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</si>
  <si>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</si>
  <si>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</si>
  <si>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</si>
  <si>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</si>
  <si>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</si>
  <si>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</si>
  <si>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</si>
  <si>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</si>
  <si>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</si>
  <si>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</si>
  <si>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</si>
  <si>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</si>
  <si>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</si>
  <si>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</si>
  <si>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</si>
  <si>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</si>
  <si>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</si>
  <si>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</si>
  <si>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</si>
  <si>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</si>
  <si>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</si>
  <si>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</si>
  <si>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</si>
  <si>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</si>
  <si>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</si>
  <si>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</si>
  <si>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</si>
  <si>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</si>
  <si>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</si>
  <si>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</si>
  <si>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</si>
  <si>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</si>
  <si>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</si>
  <si>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</si>
  <si>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</si>
  <si>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</si>
  <si>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</si>
  <si>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</si>
  <si>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</si>
  <si>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</si>
  <si>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</si>
  <si>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</si>
  <si>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</si>
  <si>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</si>
  <si>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</si>
  <si>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</si>
  <si>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</si>
  <si>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</si>
  <si>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</si>
  <si>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</si>
  <si>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</si>
  <si>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</si>
  <si>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</si>
  <si>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</si>
  <si>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</si>
  <si>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</si>
  <si>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</si>
  <si>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</si>
  <si>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</si>
  <si>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</si>
  <si>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</si>
  <si>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</si>
  <si>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</si>
  <si>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</si>
  <si>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</si>
  <si>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</si>
  <si>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</si>
  <si>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</si>
  <si>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</si>
  <si>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</si>
  <si>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</si>
  <si>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</si>
  <si>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</si>
  <si>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</si>
  <si>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</si>
  <si>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</si>
  <si>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</si>
  <si>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</si>
  <si>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</si>
  <si>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</si>
  <si>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</si>
  <si>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</si>
  <si>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</si>
  <si>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</si>
  <si>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</si>
  <si>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</si>
  <si>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</si>
  <si>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</si>
  <si>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</si>
  <si>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</si>
  <si>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</si>
  <si>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</si>
  <si>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</si>
  <si>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</si>
  <si>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</si>
  <si>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</si>
  <si>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</si>
  <si>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</si>
  <si>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</si>
  <si>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</si>
  <si>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</si>
  <si>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</si>
  <si>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</si>
  <si>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</si>
  <si>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</si>
  <si>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</si>
  <si>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</si>
  <si>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</si>
  <si>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</si>
  <si>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</si>
  <si>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</si>
  <si>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</si>
  <si>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</si>
  <si>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</si>
  <si>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</si>
  <si>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</si>
  <si>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</si>
  <si>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</si>
  <si>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</si>
  <si>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</si>
  <si>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</si>
  <si>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</si>
  <si>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</si>
  <si>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</si>
  <si>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</si>
  <si>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</si>
  <si>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</si>
  <si>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</si>
  <si>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</si>
  <si>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</si>
  <si>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</si>
  <si>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</si>
  <si>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</si>
  <si>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</si>
  <si>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</si>
  <si>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</si>
  <si>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</si>
  <si>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</si>
  <si>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</si>
  <si>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</si>
  <si>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</si>
  <si>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</si>
  <si>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</si>
  <si>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</si>
  <si>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</si>
  <si>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</si>
  <si>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</si>
  <si>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</si>
  <si>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</si>
  <si>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</si>
  <si>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</si>
  <si>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</si>
  <si>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</si>
  <si>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</si>
  <si>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</si>
  <si>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</si>
  <si>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</si>
  <si>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</si>
  <si>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</si>
  <si>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</si>
  <si>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</si>
  <si>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</si>
  <si>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</si>
  <si>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</si>
  <si>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</si>
  <si>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</si>
  <si>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</si>
  <si>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</si>
  <si>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</si>
  <si>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</si>
  <si>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</si>
  <si>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</si>
  <si>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</si>
  <si>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</si>
  <si>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</si>
  <si>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</si>
  <si>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</si>
  <si>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</si>
  <si>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</si>
  <si>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</si>
  <si>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</si>
  <si>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</si>
  <si>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</si>
  <si>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</si>
  <si>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</si>
  <si>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</si>
  <si>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</si>
  <si>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</si>
  <si>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</si>
  <si>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</si>
  <si>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</si>
  <si>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</si>
  <si>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</si>
  <si>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</si>
  <si>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</si>
  <si>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</si>
  <si>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</si>
  <si>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</si>
  <si>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</si>
  <si>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</si>
  <si>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</si>
  <si>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</si>
  <si>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</si>
  <si>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</si>
  <si>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</si>
  <si>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</si>
  <si>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</si>
  <si>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</si>
  <si>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</si>
  <si>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</si>
  <si>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</si>
  <si>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</si>
  <si>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</si>
  <si>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</si>
  <si>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</si>
  <si>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</si>
  <si>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</si>
  <si>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</si>
  <si>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</si>
  <si>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</si>
  <si>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</si>
  <si>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</si>
  <si>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</si>
  <si>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</si>
  <si>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</si>
  <si>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</si>
  <si>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</si>
  <si>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</si>
  <si>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</si>
  <si>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</si>
  <si>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</si>
  <si>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</si>
  <si>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</si>
  <si>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</si>
  <si>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</si>
  <si>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</si>
  <si>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</si>
  <si>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</si>
  <si>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</si>
  <si>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</si>
  <si>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</si>
  <si>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</si>
  <si>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</si>
  <si>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</si>
  <si>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</si>
  <si>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</si>
  <si>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</si>
  <si>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</si>
  <si>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</si>
  <si>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</si>
  <si>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</si>
  <si>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</si>
  <si>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</si>
  <si>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</si>
  <si>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</si>
  <si>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</si>
  <si>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</si>
  <si>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</si>
  <si>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</si>
  <si>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</si>
  <si>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</si>
  <si>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</si>
  <si>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</si>
  <si>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</si>
  <si>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</si>
  <si>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</si>
  <si>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</si>
  <si>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</si>
  <si>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</si>
  <si>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</si>
  <si>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</si>
  <si>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</si>
  <si>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</si>
  <si>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</si>
  <si>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</si>
  <si>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</si>
  <si>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</si>
  <si>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</si>
  <si>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</si>
  <si>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</si>
  <si>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</si>
  <si>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</si>
  <si>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</si>
  <si>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</si>
  <si>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</si>
  <si>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</si>
  <si>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</si>
  <si>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</si>
  <si>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</si>
  <si>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</si>
  <si>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</si>
  <si>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</si>
  <si>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</si>
  <si>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</si>
  <si>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</si>
  <si>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</si>
  <si>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</si>
  <si>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</si>
  <si>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</si>
  <si>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</si>
  <si>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</si>
  <si>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</si>
  <si>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</si>
  <si>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</si>
  <si>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</si>
  <si>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</si>
  <si>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</si>
  <si>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</si>
  <si>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</si>
  <si>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</si>
  <si>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</si>
  <si>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</si>
  <si>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</si>
  <si>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</si>
  <si>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</si>
  <si>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</si>
  <si>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</si>
  <si>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</si>
  <si>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</si>
  <si>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</si>
  <si>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</si>
  <si>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</si>
  <si>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</si>
  <si>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</si>
  <si>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</si>
  <si>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</si>
  <si>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</si>
  <si>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</si>
  <si>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</si>
  <si>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</si>
  <si>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</si>
  <si>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</si>
  <si>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</si>
  <si>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</si>
  <si>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</si>
  <si>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</si>
  <si>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</si>
  <si>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</si>
  <si>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</si>
  <si>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</si>
  <si>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</si>
  <si>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</si>
  <si>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</si>
  <si>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</si>
  <si>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</si>
  <si>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</si>
  <si>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</si>
  <si>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</si>
  <si>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</si>
  <si>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</si>
  <si>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</si>
  <si>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</si>
  <si>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</si>
  <si>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</si>
  <si>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</si>
  <si>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</si>
  <si>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</si>
  <si>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</si>
  <si>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</si>
  <si>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</si>
  <si>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</si>
  <si>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</si>
  <si>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</si>
  <si>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</si>
  <si>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</si>
  <si>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</si>
  <si>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</si>
  <si>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</si>
  <si>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</si>
  <si>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</si>
  <si>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</si>
  <si>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</si>
  <si>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</si>
  <si>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</si>
  <si>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</si>
  <si>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</si>
  <si>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</si>
  <si>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</si>
  <si>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</si>
  <si>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</si>
  <si>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</si>
  <si>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</si>
  <si>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</si>
  <si>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</si>
  <si>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</si>
  <si>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</si>
  <si>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</si>
  <si>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</si>
  <si>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</si>
  <si>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</si>
  <si>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</si>
  <si>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</si>
  <si>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</si>
  <si>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</si>
  <si>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</si>
  <si>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</si>
  <si>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</si>
  <si>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</si>
  <si>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</si>
  <si>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</si>
  <si>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</si>
  <si>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</si>
  <si>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</si>
  <si>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</si>
  <si>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</si>
  <si>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</si>
  <si>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</si>
  <si>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</si>
  <si>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</si>
  <si>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</si>
  <si>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</si>
  <si>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</si>
  <si>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</si>
  <si>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</si>
  <si>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</si>
  <si>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</si>
  <si>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</si>
  <si>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</si>
  <si>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</si>
  <si>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</si>
  <si>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</si>
  <si>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</si>
  <si>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</si>
  <si>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</si>
  <si>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</si>
  <si>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</si>
  <si>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</si>
  <si>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</si>
  <si>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</si>
  <si>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</si>
  <si>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</si>
  <si>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</si>
  <si>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</si>
  <si>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</si>
  <si>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</si>
  <si>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</si>
  <si>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</si>
  <si>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</si>
  <si>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</si>
  <si>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</si>
  <si>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</si>
  <si>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</si>
  <si>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</si>
  <si>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</si>
  <si>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</si>
  <si>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</si>
  <si>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</si>
  <si>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</si>
  <si>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</si>
  <si>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</si>
  <si>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</si>
  <si>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</si>
  <si>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</si>
  <si>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</si>
  <si>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</si>
  <si>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</si>
  <si>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</si>
  <si>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</si>
  <si>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</si>
  <si>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</si>
  <si>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</si>
  <si>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</si>
  <si>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</si>
  <si>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</si>
  <si>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</si>
  <si>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</si>
  <si>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</si>
  <si>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</si>
  <si>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</si>
  <si>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</si>
  <si>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</si>
  <si>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</si>
  <si>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</si>
  <si>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</si>
  <si>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</si>
  <si>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</si>
  <si>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</si>
  <si>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</si>
  <si>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</si>
  <si>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</si>
  <si>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</si>
  <si>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</si>
  <si>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</si>
  <si>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</si>
  <si>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</si>
  <si>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</si>
  <si>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</si>
  <si>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</si>
  <si>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</si>
  <si>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</si>
  <si>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</si>
  <si>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</si>
  <si>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</si>
  <si>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</si>
  <si>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</si>
  <si>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</si>
  <si>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</si>
  <si>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</si>
  <si>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</si>
  <si>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</si>
  <si>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</si>
  <si>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</si>
  <si>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</si>
  <si>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</si>
  <si>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</si>
  <si>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</si>
  <si>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</si>
  <si>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</si>
  <si>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</si>
  <si>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</si>
  <si>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</si>
  <si>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</si>
  <si>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</si>
  <si>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</si>
  <si>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</si>
  <si>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</si>
  <si>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</si>
  <si>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</si>
  <si>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</si>
  <si>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</si>
  <si>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</si>
  <si>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</si>
  <si>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</si>
  <si>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</si>
  <si>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</si>
  <si>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</si>
  <si>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</si>
  <si>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</si>
  <si>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</si>
  <si>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</si>
  <si>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</si>
  <si>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</si>
  <si>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</si>
  <si>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</si>
  <si>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</si>
  <si>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</si>
  <si>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</si>
  <si>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</si>
  <si>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</si>
  <si>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</si>
  <si>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</si>
  <si>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</si>
  <si>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</si>
  <si>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</si>
  <si>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</si>
  <si>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</si>
  <si>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</si>
  <si>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</si>
  <si>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</si>
  <si>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</si>
  <si>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</si>
  <si>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</si>
  <si>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</si>
  <si>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</si>
  <si>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</si>
  <si>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</si>
  <si>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</si>
  <si>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</si>
  <si>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</si>
  <si>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</si>
  <si>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</si>
  <si>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</si>
  <si>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</si>
  <si>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</si>
  <si>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</si>
  <si>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</si>
  <si>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</si>
  <si>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</si>
  <si>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</si>
  <si>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</si>
  <si>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</si>
  <si>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</si>
  <si>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</si>
  <si>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</si>
  <si>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</si>
  <si>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</si>
  <si>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</si>
  <si>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</si>
  <si>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</si>
  <si>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</si>
  <si>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</si>
  <si>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</si>
  <si>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</si>
  <si>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</si>
  <si>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</si>
  <si>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</si>
  <si>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</si>
  <si>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</si>
  <si>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</si>
  <si>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</si>
  <si>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</si>
  <si>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</si>
  <si>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</si>
  <si>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</si>
  <si>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</si>
  <si>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</si>
  <si>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</si>
  <si>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</si>
  <si>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</si>
  <si>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</si>
  <si>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</si>
  <si>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</si>
  <si>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</si>
  <si>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</si>
  <si>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</si>
  <si>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</si>
  <si>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</si>
  <si>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</si>
  <si>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</si>
  <si>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</si>
  <si>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</si>
  <si>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</si>
  <si>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</si>
  <si>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</si>
  <si>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</si>
  <si>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</si>
  <si>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</si>
  <si>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</si>
  <si>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</si>
  <si>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</si>
  <si>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</si>
  <si>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</si>
  <si>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</si>
  <si>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</si>
  <si>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</si>
  <si>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</si>
  <si>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</si>
  <si>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</si>
  <si>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</si>
  <si>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</si>
  <si>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</si>
  <si>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</si>
  <si>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</si>
  <si>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</si>
  <si>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</si>
  <si>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</si>
  <si>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</si>
  <si>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</si>
  <si>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</si>
  <si>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</si>
  <si>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</si>
  <si>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</si>
  <si>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</si>
  <si>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</si>
  <si>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</si>
  <si>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</si>
  <si>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</si>
  <si>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</si>
  <si>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</si>
  <si>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</si>
  <si>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</si>
  <si>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</si>
  <si>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</si>
  <si>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</si>
  <si>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</si>
  <si>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</si>
  <si>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</si>
  <si>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</si>
  <si>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</si>
  <si>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</si>
  <si>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</si>
  <si>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</si>
  <si>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</si>
  <si>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</si>
  <si>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</si>
  <si>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</si>
  <si>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</si>
  <si>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</si>
  <si>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</si>
  <si>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</si>
  <si>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</si>
  <si>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</si>
  <si>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</si>
  <si>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</si>
  <si>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</si>
  <si>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</si>
  <si>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</si>
  <si>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</si>
  <si>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</si>
  <si>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</si>
  <si>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</si>
  <si>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</si>
  <si>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</si>
  <si>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</si>
  <si>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</si>
  <si>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</si>
  <si>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</si>
  <si>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</si>
  <si>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</si>
  <si>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</si>
  <si>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</si>
  <si>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</si>
  <si>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</si>
  <si>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</si>
  <si>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</si>
  <si>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</si>
  <si>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</si>
  <si>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</si>
  <si>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</si>
  <si>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</si>
  <si>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</si>
  <si>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</si>
  <si>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</si>
  <si>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</si>
  <si>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</si>
  <si>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</si>
  <si>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</si>
  <si>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</si>
  <si>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</si>
  <si>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</si>
  <si>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</si>
  <si>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</si>
  <si>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</si>
  <si>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</si>
  <si>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</si>
  <si>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</si>
  <si>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</si>
  <si>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</si>
  <si>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</si>
  <si>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</si>
  <si>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</si>
  <si>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</si>
  <si>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</si>
  <si>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</si>
  <si>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</si>
  <si>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</si>
  <si>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</si>
  <si>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</si>
  <si>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</si>
  <si>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</si>
  <si>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</si>
  <si>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</si>
  <si>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</si>
  <si>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</si>
  <si>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</si>
  <si>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</si>
  <si>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</si>
  <si>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</si>
  <si>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</si>
  <si>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</si>
  <si>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</si>
  <si>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</si>
  <si>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</si>
  <si>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</si>
  <si>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</si>
  <si>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</si>
  <si>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</si>
  <si>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</si>
  <si>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</si>
  <si>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</si>
  <si>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</si>
  <si>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</si>
  <si>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</si>
  <si>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</si>
  <si>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</si>
  <si>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</si>
  <si>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</si>
  <si>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</si>
  <si>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</si>
  <si>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</si>
  <si>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</si>
  <si>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</si>
  <si>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</si>
  <si>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</si>
  <si>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</si>
  <si>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</si>
  <si>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</si>
  <si>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</si>
  <si>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</si>
  <si>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</si>
  <si>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</si>
  <si>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</si>
  <si>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</si>
  <si>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</si>
  <si>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</si>
  <si>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</si>
  <si>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</si>
  <si>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</si>
  <si>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</si>
  <si>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</si>
  <si>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</si>
  <si>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</si>
  <si>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</si>
  <si>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</si>
  <si>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</si>
  <si>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</si>
  <si>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</si>
  <si>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</si>
  <si>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</si>
  <si>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</si>
  <si>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</si>
  <si>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</si>
  <si>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</si>
  <si>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</si>
  <si>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</si>
  <si>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</si>
  <si>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</si>
  <si>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</si>
  <si>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</si>
  <si>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</si>
  <si>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</si>
  <si>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</si>
  <si>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</si>
  <si>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</si>
  <si>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</si>
  <si>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</si>
  <si>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</si>
  <si>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</si>
  <si>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</si>
  <si>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</si>
  <si>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</si>
  <si>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</si>
  <si>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</si>
  <si>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</si>
  <si>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</si>
  <si>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</si>
  <si>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</si>
  <si>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</si>
  <si>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</si>
  <si>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</si>
  <si>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</si>
  <si>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</si>
  <si>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</si>
  <si>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</si>
  <si>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</si>
  <si>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</si>
  <si>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</si>
  <si>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</si>
  <si>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</si>
  <si>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</si>
  <si>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</si>
  <si>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</si>
  <si>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</si>
  <si>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</si>
  <si>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</si>
  <si>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</si>
  <si>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</si>
  <si>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</si>
  <si>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</si>
  <si>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</si>
  <si>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</si>
  <si>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</si>
  <si>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</si>
  <si>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</si>
  <si>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</si>
  <si>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</si>
  <si>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</si>
  <si>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</si>
  <si>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</si>
  <si>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</si>
  <si>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</si>
  <si>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</si>
  <si>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</si>
  <si>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</si>
  <si>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</si>
  <si>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</si>
  <si>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</si>
  <si>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</si>
  <si>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</si>
  <si>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</si>
  <si>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</si>
  <si>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</si>
  <si>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</si>
  <si>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</si>
  <si>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</si>
  <si>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</si>
  <si>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</si>
  <si>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</si>
  <si>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</si>
  <si>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</si>
  <si>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</si>
  <si>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</si>
  <si>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</si>
  <si>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</si>
  <si>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</si>
  <si>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</si>
  <si>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</si>
  <si>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</si>
  <si>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</si>
  <si>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</si>
  <si>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</si>
  <si>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</si>
  <si>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</si>
  <si>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</si>
  <si>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</si>
  <si>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</si>
  <si>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</si>
  <si>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</si>
  <si>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</si>
  <si>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</si>
  <si>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</si>
  <si>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</si>
  <si>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</si>
  <si>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</si>
  <si>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</si>
  <si>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</si>
  <si>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</si>
  <si>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</si>
  <si>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</si>
  <si>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</si>
  <si>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</si>
  <si>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</si>
  <si>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</si>
  <si>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</si>
  <si>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</si>
  <si>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</si>
  <si>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</si>
  <si>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</si>
  <si>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</si>
  <si>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</si>
  <si>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</si>
  <si>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</si>
  <si>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</si>
  <si>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</si>
  <si>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</si>
  <si>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</si>
  <si>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</si>
  <si>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</si>
  <si>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</si>
  <si>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</si>
  <si>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</si>
  <si>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</si>
  <si>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</si>
  <si>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</si>
  <si>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</si>
  <si>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</si>
  <si>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</si>
  <si>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</si>
  <si>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</si>
  <si>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</si>
  <si>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</si>
  <si>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</si>
  <si>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</si>
  <si>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</si>
  <si>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</si>
  <si>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</si>
  <si>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</si>
  <si>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</si>
  <si>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</si>
  <si>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</si>
  <si>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</si>
  <si>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</si>
  <si>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</si>
  <si>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</si>
  <si>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</si>
  <si>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</si>
  <si>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</si>
  <si>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</si>
  <si>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</si>
  <si>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</si>
  <si>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</si>
  <si>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</si>
  <si>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</si>
  <si>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</si>
  <si>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</si>
  <si>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</si>
  <si>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</si>
  <si>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</si>
  <si>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</si>
  <si>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</si>
  <si>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</si>
  <si>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</si>
  <si>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</si>
  <si>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</si>
  <si>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</si>
  <si>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</si>
  <si>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</si>
  <si>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</si>
  <si>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</si>
  <si>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</si>
  <si>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</si>
  <si>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</si>
  <si>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</si>
  <si>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</si>
  <si>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</si>
  <si>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</si>
  <si>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</si>
  <si>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</si>
  <si>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</si>
  <si>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</si>
  <si>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</si>
  <si>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</si>
  <si>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</si>
  <si>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</si>
  <si>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</si>
  <si>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</si>
  <si>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</si>
  <si>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</si>
  <si>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</si>
  <si>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</si>
  <si>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</si>
  <si>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</si>
  <si>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</si>
  <si>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</si>
  <si>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</si>
  <si>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</si>
  <si>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</si>
  <si>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</si>
  <si>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</si>
  <si>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</si>
  <si>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</si>
  <si>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</si>
  <si>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</si>
  <si>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</si>
  <si>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</si>
  <si>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</si>
  <si>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</si>
  <si>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</si>
  <si>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</si>
  <si>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</si>
  <si>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</si>
  <si>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</si>
  <si>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</si>
  <si>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</si>
  <si>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</si>
  <si>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</si>
  <si>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</si>
  <si>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</si>
  <si>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</si>
  <si>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</si>
  <si>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</si>
  <si>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</si>
  <si>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</si>
  <si>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</si>
  <si>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</si>
  <si>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</si>
  <si>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</si>
  <si>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</si>
  <si>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</si>
  <si>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</si>
  <si>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</si>
  <si>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</si>
  <si>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</si>
  <si>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</si>
  <si>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</si>
  <si>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</si>
  <si>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</si>
  <si>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</si>
  <si>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</si>
  <si>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</si>
  <si>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</si>
  <si>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</si>
  <si>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</si>
  <si>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</si>
  <si>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</si>
  <si>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</si>
  <si>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</si>
  <si>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</si>
  <si>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</si>
  <si>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</si>
  <si>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</si>
  <si>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</si>
  <si>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</si>
  <si>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</si>
  <si>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</si>
  <si>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</si>
  <si>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</si>
  <si>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</si>
  <si>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</si>
  <si>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</si>
  <si>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</si>
  <si>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</si>
  <si>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</si>
  <si>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</si>
  <si>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</si>
  <si>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</si>
  <si>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</si>
  <si>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</si>
  <si>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</si>
  <si>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</si>
  <si>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</si>
  <si>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</si>
  <si>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</si>
  <si>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</si>
  <si>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</si>
  <si>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</si>
  <si>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</si>
  <si>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</si>
  <si>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</si>
  <si>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</si>
  <si>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</si>
  <si>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</si>
  <si>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</si>
  <si>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</si>
  <si>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</si>
  <si>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</si>
  <si>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</si>
  <si>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</si>
  <si>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</si>
  <si>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</si>
  <si>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</si>
  <si>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</si>
  <si>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</si>
  <si>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</si>
  <si>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</si>
  <si>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</si>
  <si>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</si>
  <si>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</si>
  <si>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</si>
  <si>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</si>
  <si>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</si>
  <si>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</si>
  <si>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</si>
  <si>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</si>
  <si>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</si>
  <si>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</si>
  <si>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</si>
  <si>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</si>
  <si>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</si>
  <si>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</si>
  <si>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</si>
  <si>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</si>
  <si>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</si>
  <si>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</si>
  <si>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</si>
  <si>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</si>
  <si>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</si>
  <si>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</si>
  <si>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</si>
  <si>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</si>
  <si>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</si>
  <si>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</si>
  <si>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</si>
  <si>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</si>
  <si>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</si>
  <si>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</si>
  <si>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</si>
  <si>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</si>
  <si>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</si>
  <si>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</si>
  <si>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</si>
  <si>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</si>
  <si>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</si>
  <si>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</si>
  <si>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</si>
  <si>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</si>
  <si>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</si>
  <si>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</si>
  <si>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</si>
  <si>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</si>
  <si>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</si>
  <si>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</si>
  <si>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</si>
  <si>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</si>
  <si>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</si>
  <si>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</si>
  <si>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</si>
  <si>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</si>
  <si>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</si>
  <si>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</si>
  <si>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</si>
  <si>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</si>
  <si>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</si>
  <si>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</si>
  <si>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</si>
  <si>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</si>
  <si>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</si>
  <si>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</si>
  <si>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</si>
  <si>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</si>
  <si>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</si>
  <si>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</si>
  <si>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</si>
  <si>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</si>
  <si>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</si>
  <si>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</si>
  <si>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</si>
  <si>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</si>
  <si>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</si>
  <si>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</si>
  <si>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</si>
  <si>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</si>
  <si>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</si>
  <si>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</si>
  <si>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</si>
  <si>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</si>
  <si>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</si>
  <si>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</si>
  <si>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</si>
  <si>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</si>
  <si>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</si>
  <si>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</si>
  <si>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</si>
  <si>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</si>
  <si>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</si>
  <si>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</si>
  <si>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</si>
  <si>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</si>
  <si>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</si>
  <si>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</si>
  <si>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</si>
  <si>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</si>
  <si>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</si>
  <si>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</si>
  <si>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</si>
  <si>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</si>
  <si>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</si>
  <si>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</si>
  <si>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</si>
  <si>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</si>
  <si>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</si>
  <si>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</si>
  <si>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</si>
  <si>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</si>
  <si>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</si>
  <si>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</si>
  <si>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</si>
  <si>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</si>
  <si>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</si>
  <si>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</si>
  <si>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</si>
  <si>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</si>
  <si>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</si>
  <si>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</si>
  <si>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</si>
  <si>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</si>
  <si>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</si>
  <si>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</si>
  <si>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</si>
  <si>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</si>
  <si>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</si>
  <si>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</si>
  <si>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</si>
  <si>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</si>
  <si>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</si>
  <si>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</si>
  <si>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</si>
  <si>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</si>
  <si>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</si>
  <si>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</si>
  <si>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</si>
  <si>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</si>
  <si>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</si>
  <si>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</si>
  <si>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</si>
  <si>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</si>
  <si>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</si>
  <si>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</si>
  <si>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</si>
  <si>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</si>
  <si>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</si>
  <si>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</si>
  <si>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</si>
  <si>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</si>
  <si>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</si>
  <si>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</si>
  <si>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</si>
  <si>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</si>
  <si>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</si>
  <si>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</si>
  <si>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</si>
  <si>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</si>
  <si>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</si>
  <si>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</si>
  <si>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</si>
  <si>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</si>
  <si>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</si>
  <si>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</si>
  <si>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</si>
  <si>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</si>
  <si>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</si>
  <si>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</si>
  <si>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</si>
  <si>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</si>
  <si>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</si>
  <si>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</si>
  <si>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</si>
  <si>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</si>
  <si>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</si>
  <si>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</si>
  <si>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</si>
  <si>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</si>
  <si>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</si>
  <si>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</si>
  <si>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</si>
  <si>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</si>
  <si>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</si>
  <si>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</si>
  <si>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</si>
  <si>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</si>
  <si>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</si>
  <si>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</si>
  <si>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</si>
  <si>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</si>
  <si>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</si>
  <si>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</si>
  <si>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</si>
  <si>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</si>
  <si>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</si>
  <si>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</si>
  <si>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</si>
  <si>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</si>
  <si>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</si>
  <si>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</si>
  <si>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</si>
  <si>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</si>
  <si>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</si>
  <si>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</si>
  <si>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</si>
  <si>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</si>
  <si>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</si>
  <si>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</si>
  <si>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</si>
  <si>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</si>
  <si>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</si>
  <si>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</si>
  <si>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</si>
  <si>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</si>
  <si>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</si>
  <si>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</si>
  <si>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</si>
  <si>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</si>
  <si>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</si>
  <si>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</si>
  <si>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</si>
  <si>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</si>
  <si>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</si>
  <si>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</si>
  <si>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</si>
  <si>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</si>
  <si>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</si>
  <si>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</si>
  <si>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</si>
  <si>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</si>
  <si>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</si>
  <si>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</si>
  <si>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</si>
  <si>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</si>
  <si>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</si>
  <si>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</si>
  <si>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</si>
  <si>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</si>
  <si>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</si>
  <si>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</si>
  <si>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</si>
  <si>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</si>
  <si>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</si>
  <si>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</si>
  <si>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</si>
  <si>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</si>
  <si>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</si>
  <si>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</si>
  <si>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</si>
  <si>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</si>
  <si>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</si>
  <si>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</si>
  <si>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</si>
  <si>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</si>
  <si>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</si>
  <si>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</si>
  <si>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</si>
  <si>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</si>
  <si>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</si>
  <si>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</si>
  <si>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</si>
  <si>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</si>
  <si>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</si>
  <si>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</si>
  <si>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</si>
  <si>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</si>
  <si>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</si>
  <si>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</si>
  <si>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</si>
  <si>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</si>
  <si>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</si>
  <si>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</si>
  <si>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</si>
  <si>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</si>
  <si>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</si>
  <si>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</si>
  <si>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</si>
  <si>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</si>
  <si>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</si>
  <si>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</si>
  <si>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</si>
  <si>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</si>
  <si>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</si>
  <si>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</si>
  <si>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</si>
  <si>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</si>
  <si>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</si>
  <si>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</si>
  <si>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</si>
  <si>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</si>
  <si>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</si>
  <si>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</si>
  <si>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</si>
  <si>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</si>
  <si>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</si>
  <si>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</si>
  <si>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</si>
  <si>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</si>
  <si>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</si>
  <si>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</si>
  <si>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</si>
  <si>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</si>
  <si>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</si>
  <si>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</si>
  <si>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</si>
  <si>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</si>
  <si>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</si>
  <si>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</si>
  <si>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</si>
  <si>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</si>
  <si>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</si>
  <si>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</si>
  <si>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</si>
  <si>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</si>
  <si>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</si>
  <si>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</si>
  <si>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</si>
  <si>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</si>
  <si>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</si>
  <si>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</si>
  <si>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</si>
  <si>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</si>
  <si>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</si>
  <si>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</si>
  <si>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</si>
  <si>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</si>
  <si>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</si>
  <si>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</si>
  <si>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</si>
  <si>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</si>
  <si>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</si>
  <si>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</si>
  <si>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</si>
  <si>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</si>
  <si>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</si>
  <si>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</si>
  <si>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</si>
  <si>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</si>
  <si>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</si>
  <si>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</si>
  <si>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</si>
  <si>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</si>
  <si>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</si>
  <si>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</si>
  <si>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</si>
  <si>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</si>
  <si>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</si>
  <si>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</si>
  <si>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</si>
  <si>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</si>
  <si>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</si>
  <si>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</si>
  <si>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</si>
  <si>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</si>
  <si>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</si>
  <si>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</si>
  <si>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</si>
  <si>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</si>
  <si>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</si>
  <si>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</si>
  <si>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</si>
  <si>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</si>
  <si>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</si>
  <si>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</si>
  <si>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</si>
  <si>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</si>
  <si>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</si>
  <si>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</si>
  <si>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</si>
  <si>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</si>
  <si>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</si>
  <si>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</si>
  <si>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</si>
  <si>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</si>
  <si>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</si>
  <si>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</si>
  <si>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</si>
  <si>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</si>
  <si>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</si>
  <si>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</si>
  <si>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</si>
  <si>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</si>
  <si>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</si>
  <si>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</si>
  <si>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</si>
  <si>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</si>
  <si>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</si>
  <si>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</si>
  <si>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</si>
  <si>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</si>
  <si>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</si>
  <si>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</si>
  <si>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</si>
  <si>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</si>
  <si>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</si>
  <si>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</si>
  <si>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</si>
  <si>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</si>
  <si>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</si>
  <si>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</si>
  <si>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</si>
  <si>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</si>
  <si>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</si>
  <si>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</si>
  <si>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</si>
  <si>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</si>
  <si>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</si>
  <si>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</si>
  <si>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</si>
  <si>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</si>
  <si>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</si>
  <si>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</si>
  <si>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</si>
  <si>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</si>
  <si>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</si>
  <si>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</si>
  <si>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</si>
  <si>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</si>
  <si>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</si>
  <si>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</si>
  <si>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</si>
  <si>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</si>
  <si>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</si>
  <si>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</si>
  <si>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</si>
  <si>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</si>
  <si>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</si>
  <si>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</si>
  <si>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</si>
  <si>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</si>
  <si>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</si>
  <si>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</si>
  <si>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</si>
  <si>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</si>
  <si>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</si>
  <si>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</si>
  <si>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</si>
  <si>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</si>
  <si>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</si>
  <si>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</si>
  <si>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</si>
  <si>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</si>
  <si>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</si>
  <si>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</si>
  <si>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</si>
  <si>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</si>
  <si>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</si>
  <si>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</si>
  <si>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</si>
  <si>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</si>
  <si>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</si>
  <si>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</si>
  <si>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</si>
  <si>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</si>
  <si>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</si>
  <si>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</si>
  <si>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</si>
  <si>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</si>
  <si>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</si>
  <si>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</si>
  <si>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</si>
  <si>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</si>
  <si>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</si>
  <si>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</si>
  <si>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</si>
  <si>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</si>
  <si>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</si>
  <si>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</si>
  <si>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</si>
  <si>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</si>
  <si>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</si>
  <si>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</si>
  <si>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</si>
  <si>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</si>
  <si>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</si>
  <si>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</si>
  <si>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</si>
  <si>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</si>
  <si>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</si>
  <si>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</si>
  <si>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</si>
  <si>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</si>
  <si>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</si>
  <si>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</si>
  <si>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</si>
  <si>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</si>
  <si>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</si>
  <si>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</si>
  <si>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</si>
  <si>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</si>
  <si>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</si>
  <si>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</si>
  <si>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</si>
  <si>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</si>
  <si>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</si>
  <si>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</si>
  <si>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</si>
  <si>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</si>
  <si>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</si>
  <si>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</si>
  <si>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</si>
  <si>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</si>
  <si>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</si>
  <si>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</si>
  <si>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</si>
  <si>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</si>
  <si>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</si>
  <si>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</si>
  <si>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</si>
  <si>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</si>
  <si>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</si>
  <si>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</si>
  <si>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</si>
  <si>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</si>
  <si>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</si>
  <si>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</si>
  <si>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</si>
  <si>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</si>
  <si>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</si>
  <si>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</si>
  <si>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</si>
  <si>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</si>
  <si>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</si>
  <si>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</si>
  <si>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</si>
  <si>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</si>
  <si>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</si>
  <si>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</si>
  <si>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</si>
  <si>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</si>
  <si>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</si>
  <si>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</si>
  <si>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</si>
  <si>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</si>
  <si>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</si>
  <si>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</si>
  <si>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</si>
  <si>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</si>
  <si>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</si>
  <si>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</si>
  <si>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</si>
  <si>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</si>
  <si>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</si>
  <si>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</si>
  <si>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</si>
  <si>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</si>
  <si>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</si>
  <si>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</si>
  <si>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</si>
  <si>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</si>
  <si>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</si>
  <si>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</si>
  <si>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</si>
  <si>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</si>
  <si>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</si>
  <si>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</si>
  <si>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</si>
  <si>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</si>
  <si>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</si>
  <si>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</si>
  <si>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</si>
  <si>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</si>
  <si>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</si>
  <si>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</si>
  <si>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</si>
  <si>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</si>
  <si>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</si>
  <si>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</si>
  <si>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</si>
  <si>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</si>
  <si>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</si>
  <si>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</si>
  <si>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</si>
  <si>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</si>
  <si>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</si>
  <si>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</si>
  <si>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</si>
  <si>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</si>
  <si>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</si>
  <si>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</si>
  <si>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</si>
  <si>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</si>
  <si>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</si>
  <si>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</si>
  <si>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</si>
  <si>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</si>
  <si>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</si>
  <si>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</si>
  <si>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</si>
  <si>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</si>
  <si>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</si>
  <si>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</si>
  <si>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</si>
  <si>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</si>
  <si>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</si>
  <si>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</si>
  <si>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</si>
  <si>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</si>
  <si>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</si>
  <si>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</si>
  <si>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</si>
  <si>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</si>
  <si>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</si>
  <si>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</si>
  <si>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</si>
  <si>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</si>
  <si>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</si>
  <si>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</si>
  <si>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</si>
  <si>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</si>
  <si>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</si>
  <si>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</si>
  <si>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</si>
  <si>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</si>
  <si>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</si>
  <si>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</si>
  <si>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</si>
  <si>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</si>
  <si>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</si>
  <si>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</si>
  <si>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</si>
  <si>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</si>
  <si>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</si>
  <si>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</si>
  <si>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</si>
  <si>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</si>
  <si>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</si>
  <si>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</si>
  <si>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</si>
  <si>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</si>
  <si>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</si>
  <si>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</si>
  <si>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</si>
  <si>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</si>
  <si>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</si>
  <si>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</si>
  <si>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</si>
  <si>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</si>
  <si>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</si>
  <si>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</si>
  <si>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</si>
  <si>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</si>
  <si>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</si>
  <si>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</si>
  <si>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</si>
  <si>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</si>
  <si>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</si>
  <si>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</si>
  <si>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</si>
  <si>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</si>
  <si>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</si>
  <si>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</si>
  <si>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</si>
  <si>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</si>
  <si>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</si>
  <si>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</si>
  <si>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</si>
  <si>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</si>
  <si>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</si>
  <si>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</si>
  <si>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</si>
  <si>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</si>
  <si>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</si>
  <si>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</si>
  <si>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</si>
  <si>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</si>
  <si>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</si>
  <si>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</si>
  <si>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</si>
  <si>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</si>
  <si>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</si>
  <si>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</si>
  <si>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</si>
  <si>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</si>
  <si>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</si>
  <si>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</si>
  <si>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</si>
  <si>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</si>
  <si>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</si>
  <si>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</si>
  <si>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</si>
  <si>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</si>
  <si>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</si>
  <si>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</si>
  <si>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</si>
  <si>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</si>
  <si>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</si>
  <si>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</si>
  <si>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</si>
  <si>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</si>
  <si>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</si>
  <si>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</si>
  <si>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</si>
  <si>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</si>
  <si>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</si>
  <si>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</si>
  <si>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</si>
  <si>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</si>
  <si>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</si>
  <si>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</si>
  <si>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</si>
  <si>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</si>
  <si>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</si>
  <si>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</si>
  <si>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</si>
  <si>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</si>
  <si>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</si>
  <si>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</si>
  <si>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</si>
  <si>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</si>
  <si>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</si>
  <si>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</si>
  <si>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</si>
  <si>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</si>
  <si>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</si>
  <si>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</si>
  <si>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</si>
  <si>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</si>
  <si>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</si>
  <si>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</si>
  <si>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</si>
  <si>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</si>
  <si>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</si>
  <si>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</si>
  <si>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</si>
  <si>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</si>
  <si>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</si>
  <si>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</si>
  <si>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</si>
  <si>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</si>
  <si>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</si>
  <si>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</si>
  <si>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</si>
  <si>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</si>
  <si>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</si>
  <si>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</si>
  <si>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</si>
  <si>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</si>
  <si>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</si>
  <si>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</si>
  <si>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</si>
  <si>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</si>
  <si>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</si>
  <si>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</si>
  <si>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</si>
  <si>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</si>
  <si>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</si>
  <si>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</si>
  <si>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</si>
  <si>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</si>
  <si>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</si>
  <si>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</si>
  <si>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</si>
  <si>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</si>
  <si>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</si>
  <si>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</si>
  <si>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</si>
  <si>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</si>
  <si>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</si>
  <si>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</si>
  <si>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</si>
  <si>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</si>
  <si>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</si>
  <si>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</si>
  <si>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</si>
  <si>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</si>
  <si>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</si>
  <si>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</si>
  <si>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</si>
  <si>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</si>
  <si>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</si>
  <si>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</si>
  <si>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</si>
  <si>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</si>
  <si>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</si>
  <si>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</si>
  <si>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</si>
  <si>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</si>
  <si>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</si>
  <si>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</si>
  <si>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</si>
  <si>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</si>
  <si>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</si>
  <si>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</si>
  <si>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</si>
  <si>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</si>
  <si>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</si>
  <si>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</si>
  <si>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</si>
  <si>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</si>
  <si>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</si>
  <si>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</si>
  <si>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</si>
  <si>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</si>
  <si>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</si>
  <si>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</si>
  <si>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</si>
  <si>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</si>
  <si>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</si>
  <si>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</si>
  <si>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</si>
  <si>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</si>
  <si>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</si>
  <si>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</si>
  <si>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</si>
  <si>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</si>
  <si>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</si>
  <si>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</si>
  <si>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</si>
  <si>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</si>
  <si>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</si>
  <si>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</si>
  <si>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</si>
  <si>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</si>
  <si>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</si>
  <si>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</si>
  <si>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</si>
  <si>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</si>
  <si>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</si>
  <si>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</si>
  <si>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</si>
  <si>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</si>
  <si>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</si>
  <si>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</si>
  <si>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</si>
  <si>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</si>
  <si>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</si>
  <si>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</si>
  <si>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</si>
  <si>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</si>
  <si>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</si>
  <si>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</si>
  <si>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</si>
  <si>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</si>
  <si>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</si>
  <si>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</si>
  <si>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</si>
  <si>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</si>
  <si>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</si>
  <si>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</si>
  <si>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</si>
  <si>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</si>
  <si>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</si>
  <si>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</si>
  <si>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</si>
  <si>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</si>
  <si>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</si>
  <si>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</si>
  <si>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</si>
  <si>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</si>
  <si>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</si>
  <si>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</si>
  <si>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</si>
  <si>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</si>
  <si>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</si>
  <si>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</si>
  <si>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</si>
  <si>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</si>
  <si>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</si>
  <si>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</si>
  <si>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</si>
  <si>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</si>
  <si>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</si>
  <si>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</si>
  <si>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</si>
  <si>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</si>
  <si>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</si>
  <si>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</si>
  <si>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</si>
  <si>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</si>
  <si>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</si>
  <si>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</si>
  <si>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</si>
  <si>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</si>
  <si>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</si>
  <si>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</si>
  <si>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</si>
  <si>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</si>
  <si>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</si>
  <si>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</si>
  <si>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</si>
  <si>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</si>
  <si>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</si>
  <si>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</si>
  <si>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</si>
  <si>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</si>
  <si>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</si>
  <si>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</si>
  <si>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</si>
  <si>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</si>
  <si>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</si>
  <si>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</si>
  <si>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</si>
  <si>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</si>
  <si>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</si>
  <si>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</si>
  <si>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</si>
  <si>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</si>
  <si>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</si>
  <si>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</si>
  <si>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</si>
  <si>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</si>
  <si>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</si>
  <si>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</si>
  <si>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</si>
  <si>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</si>
  <si>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</si>
  <si>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</si>
  <si>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</si>
  <si>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</si>
  <si>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</si>
  <si>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</si>
  <si>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</si>
  <si>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</si>
  <si>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</si>
  <si>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</si>
  <si>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</si>
  <si>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</si>
  <si>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</si>
  <si>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</si>
  <si>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</si>
  <si>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</si>
  <si>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</si>
  <si>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</si>
  <si>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</si>
  <si>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</si>
  <si>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</si>
  <si>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</si>
  <si>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</si>
  <si>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</si>
  <si>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</si>
  <si>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</si>
  <si>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</si>
  <si>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</si>
  <si>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</si>
  <si>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</si>
  <si>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</si>
  <si>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</si>
  <si>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</si>
  <si>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</si>
  <si>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</si>
  <si>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</si>
  <si>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</si>
  <si>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</si>
  <si>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</si>
  <si>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</si>
  <si>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</si>
  <si>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</si>
  <si>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</si>
  <si>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</si>
  <si>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</si>
  <si>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</si>
  <si>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</si>
  <si>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</si>
  <si>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</si>
  <si>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</si>
  <si>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</si>
  <si>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</si>
  <si>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</si>
  <si>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</si>
  <si>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</si>
  <si>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</si>
  <si>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</si>
  <si>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</si>
  <si>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</si>
  <si>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</si>
  <si>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</si>
  <si>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</si>
  <si>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</si>
  <si>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</si>
  <si>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</si>
  <si>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</si>
  <si>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</si>
  <si>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</si>
  <si>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</si>
  <si>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</si>
  <si>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</si>
  <si>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</si>
  <si>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</si>
  <si>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</si>
  <si>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</si>
  <si>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</si>
  <si>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</si>
  <si>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</si>
  <si>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</si>
  <si>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</si>
  <si>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</si>
  <si>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</si>
  <si>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</si>
  <si>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</si>
  <si>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</si>
  <si>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</si>
  <si>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</si>
  <si>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</si>
  <si>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</si>
  <si>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</si>
  <si>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</si>
  <si>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</si>
  <si>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</si>
  <si>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</si>
  <si>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</si>
  <si>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</si>
  <si>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</si>
  <si>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</si>
  <si>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</si>
  <si>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</si>
  <si>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</si>
  <si>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</si>
  <si>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</si>
  <si>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</si>
  <si>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</si>
  <si>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</si>
  <si>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</si>
  <si>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</si>
  <si>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</si>
  <si>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</si>
  <si>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</si>
  <si>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</si>
  <si>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</si>
  <si>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</si>
  <si>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</si>
  <si>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</si>
  <si>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</si>
  <si>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</si>
  <si>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</si>
  <si>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</si>
  <si>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</si>
  <si>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</si>
  <si>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</si>
  <si>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</si>
  <si>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</si>
  <si>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</si>
  <si>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</si>
  <si>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</si>
  <si>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</si>
  <si>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</si>
  <si>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</si>
  <si>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</si>
  <si>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</si>
  <si>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</si>
  <si>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</si>
  <si>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</si>
  <si>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</si>
  <si>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</si>
  <si>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</si>
  <si>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</si>
  <si>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</si>
  <si>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</si>
  <si>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</si>
  <si>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</si>
  <si>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</si>
  <si>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</si>
  <si>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</si>
  <si>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</si>
  <si>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</si>
  <si>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</si>
  <si>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</si>
  <si>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</si>
  <si>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</si>
  <si>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</si>
  <si>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</si>
  <si>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</si>
  <si>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</si>
  <si>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</si>
  <si>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</si>
  <si>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</si>
  <si>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</si>
  <si>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</si>
  <si>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</si>
  <si>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</si>
  <si>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</si>
  <si>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</si>
  <si>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</si>
  <si>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</si>
  <si>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</si>
  <si>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</si>
  <si>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</si>
  <si>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</si>
  <si>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</si>
  <si>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</si>
  <si>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</si>
  <si>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</si>
  <si>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</si>
  <si>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</si>
  <si>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</si>
  <si>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</si>
  <si>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</si>
  <si>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</si>
  <si>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</si>
  <si>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</si>
  <si>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</si>
  <si>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</si>
  <si>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</si>
  <si>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</si>
  <si>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</si>
  <si>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</si>
  <si>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</si>
  <si>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</si>
  <si>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</si>
  <si>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</si>
  <si>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</si>
  <si>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</si>
  <si>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</si>
  <si>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</si>
  <si>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</si>
  <si>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</si>
  <si>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</si>
  <si>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</si>
  <si>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</si>
  <si>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</si>
  <si>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</si>
  <si>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</si>
  <si>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</si>
  <si>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</si>
  <si>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</si>
  <si>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</si>
  <si>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</si>
  <si>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</si>
  <si>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</si>
  <si>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</si>
  <si>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</si>
  <si>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</si>
  <si>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</si>
  <si>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</si>
  <si>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</si>
  <si>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</si>
  <si>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</si>
  <si>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</si>
  <si>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</si>
  <si>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</si>
  <si>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</si>
  <si>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</si>
  <si>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</si>
  <si>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</si>
  <si>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</si>
  <si>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</si>
  <si>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</si>
  <si>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</si>
  <si>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</si>
  <si>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</si>
  <si>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</si>
  <si>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</si>
  <si>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</si>
  <si>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</si>
  <si>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</si>
  <si>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</si>
  <si>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</si>
  <si>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</si>
  <si>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</si>
  <si>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</si>
  <si>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</si>
  <si>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</si>
  <si>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</si>
  <si>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</si>
  <si>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</si>
  <si>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</si>
  <si>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</si>
  <si>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</si>
  <si>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</si>
  <si>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</si>
  <si>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</si>
  <si>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</si>
  <si>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</si>
  <si>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</si>
  <si>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</si>
  <si>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</si>
  <si>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</si>
  <si>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</si>
  <si>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</si>
  <si>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</si>
  <si>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</si>
  <si>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</si>
  <si>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</si>
  <si>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</si>
  <si>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</si>
  <si>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</si>
  <si>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</si>
  <si>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</si>
  <si>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</si>
  <si>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</si>
  <si>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</si>
  <si>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</si>
  <si>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</si>
  <si>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</si>
  <si>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</si>
  <si>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</si>
  <si>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</si>
  <si>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</si>
  <si>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</si>
  <si>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</si>
  <si>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</si>
  <si>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</si>
  <si>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</si>
  <si>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</si>
  <si>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</si>
  <si>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</si>
  <si>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</si>
  <si>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</si>
  <si>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</si>
  <si>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</si>
  <si>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</si>
  <si>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</si>
  <si>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</si>
  <si>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</si>
  <si>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</si>
  <si>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</si>
  <si>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</si>
  <si>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</si>
  <si>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</si>
  <si>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</si>
  <si>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</si>
  <si>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</si>
  <si>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</si>
  <si>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</si>
  <si>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</si>
  <si>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</si>
  <si>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</si>
  <si>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</si>
  <si>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</si>
  <si>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</si>
  <si>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</si>
  <si>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</si>
  <si>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</si>
  <si>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</si>
  <si>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</si>
  <si>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</si>
  <si>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</si>
  <si>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</si>
  <si>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</si>
  <si>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</si>
  <si>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</si>
  <si>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</si>
  <si>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</si>
  <si>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</si>
  <si>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</si>
  <si>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</si>
  <si>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</si>
  <si>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</si>
  <si>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</si>
  <si>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</si>
  <si>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</si>
  <si>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</si>
  <si>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</si>
  <si>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</si>
  <si>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</si>
  <si>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</si>
  <si>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</si>
  <si>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</si>
  <si>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</si>
  <si>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</si>
  <si>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</si>
  <si>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</si>
  <si>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</si>
  <si>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</si>
  <si>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</si>
  <si>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</si>
  <si>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</si>
  <si>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</si>
  <si>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</si>
  <si>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</si>
  <si>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</si>
  <si>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</si>
  <si>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</si>
  <si>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</si>
  <si>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</si>
  <si>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</si>
  <si>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</si>
  <si>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</si>
  <si>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</si>
  <si>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</si>
  <si>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</si>
  <si>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</si>
  <si>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</si>
  <si>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</si>
  <si>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</si>
  <si>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</si>
  <si>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</si>
  <si>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</si>
  <si>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</si>
  <si>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</si>
  <si>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</si>
  <si>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</si>
  <si>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</si>
  <si>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</si>
  <si>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</si>
  <si>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</si>
  <si>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</si>
  <si>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</si>
  <si>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</si>
  <si>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</si>
  <si>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</si>
  <si>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</si>
  <si>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</si>
  <si>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</si>
  <si>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</si>
  <si>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</si>
  <si>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</si>
  <si>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</si>
  <si>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</si>
  <si>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</si>
  <si>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</si>
  <si>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</si>
  <si>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</si>
  <si>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</si>
  <si>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</si>
  <si>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</si>
  <si>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</si>
  <si>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</si>
  <si>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</si>
  <si>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</si>
  <si>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</si>
  <si>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</si>
  <si>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</si>
  <si>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</si>
  <si>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</si>
  <si>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</si>
  <si>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</si>
  <si>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</si>
  <si>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</si>
  <si>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</si>
  <si>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</si>
  <si>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</si>
  <si>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</si>
  <si>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</si>
  <si>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</si>
  <si>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</si>
  <si>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</si>
  <si>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</si>
  <si>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</si>
  <si>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</si>
  <si>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</si>
  <si>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</si>
  <si>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</si>
  <si>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</si>
  <si>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</si>
  <si>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</si>
  <si>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</si>
  <si>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</si>
  <si>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</si>
  <si>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</si>
  <si>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</si>
  <si>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</si>
  <si>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</si>
  <si>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</si>
  <si>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</si>
  <si>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</si>
  <si>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</si>
  <si>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</si>
  <si>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</si>
  <si>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</si>
  <si>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</si>
  <si>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</si>
  <si>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</si>
  <si>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</si>
  <si>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</si>
  <si>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</si>
  <si>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</si>
  <si>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</si>
  <si>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</si>
  <si>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</si>
  <si>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</si>
  <si>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</si>
  <si>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</si>
  <si>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</si>
  <si>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</si>
  <si>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</si>
  <si>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</si>
  <si>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</si>
  <si>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</si>
  <si>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</si>
  <si>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</si>
  <si>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</si>
  <si>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</si>
  <si>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</si>
  <si>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</si>
  <si>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</si>
  <si>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</si>
  <si>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</si>
  <si>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</si>
  <si>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</si>
  <si>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</si>
  <si>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</si>
  <si>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</si>
  <si>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</si>
  <si>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</si>
  <si>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</si>
  <si>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</si>
  <si>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</si>
  <si>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</si>
  <si>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</si>
  <si>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</si>
  <si>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</si>
  <si>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</si>
  <si>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</si>
  <si>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</si>
  <si>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</si>
  <si>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</si>
  <si>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</si>
  <si>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</si>
  <si>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</si>
  <si>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</si>
  <si>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</si>
  <si>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</si>
  <si>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</si>
  <si>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</si>
  <si>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</si>
  <si>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</si>
  <si>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</si>
  <si>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</si>
  <si>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</si>
  <si>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</si>
  <si>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</si>
  <si>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</si>
  <si>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</si>
  <si>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</si>
  <si>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</si>
  <si>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</si>
  <si>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</si>
  <si>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</si>
  <si>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</si>
  <si>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</si>
  <si>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</si>
  <si>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</si>
  <si>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</si>
  <si>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</si>
  <si>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</si>
  <si>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</si>
  <si>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</si>
  <si>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</si>
  <si>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</si>
  <si>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</si>
  <si>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</si>
  <si>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</si>
  <si>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</si>
  <si>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</si>
  <si>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</si>
  <si>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</si>
  <si>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</si>
  <si>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</si>
  <si>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</si>
  <si>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</si>
  <si>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</si>
  <si>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</si>
  <si>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</si>
  <si>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</si>
  <si>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</si>
  <si>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</si>
  <si>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</si>
  <si>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</si>
  <si>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</si>
  <si>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</si>
  <si>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</si>
  <si>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</si>
  <si>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</si>
  <si>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</si>
  <si>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</si>
  <si>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</si>
  <si>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</si>
  <si>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</si>
  <si>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</si>
  <si>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</si>
  <si>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</si>
  <si>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</si>
  <si>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</si>
  <si>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</si>
  <si>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</si>
  <si>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</si>
  <si>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</si>
  <si>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</si>
  <si>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</si>
  <si>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</si>
  <si>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</si>
  <si>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</si>
  <si>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</si>
  <si>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</si>
  <si>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</si>
  <si>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</si>
  <si>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</si>
  <si>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</si>
  <si>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</si>
  <si>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</si>
  <si>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</si>
  <si>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</si>
  <si>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</si>
  <si>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</si>
  <si>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</si>
  <si>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</si>
  <si>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</si>
  <si>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</si>
  <si>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</si>
  <si>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</si>
  <si>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</si>
  <si>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</si>
  <si>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</si>
  <si>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</si>
  <si>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</si>
  <si>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</si>
  <si>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</si>
  <si>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</si>
  <si>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</si>
  <si>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</si>
  <si>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</si>
  <si>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</si>
  <si>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</si>
  <si>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</si>
  <si>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</si>
  <si>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</si>
  <si>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</si>
  <si>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</si>
  <si>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</si>
  <si>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</si>
  <si>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</si>
  <si>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</si>
  <si>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</si>
  <si>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</si>
  <si>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</si>
  <si>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</si>
  <si>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</si>
  <si>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</si>
  <si>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</si>
  <si>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</si>
  <si>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</si>
  <si>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</si>
  <si>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</si>
  <si>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</si>
  <si>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</si>
  <si>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</si>
  <si>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</si>
  <si>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</si>
  <si>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</si>
  <si>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</si>
  <si>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</si>
  <si>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</si>
  <si>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</si>
  <si>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</si>
  <si>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</si>
  <si>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</si>
  <si>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</si>
  <si>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</si>
  <si>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</si>
  <si>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</si>
  <si>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</si>
  <si>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</si>
  <si>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</si>
  <si>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</si>
  <si>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</si>
  <si>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</si>
  <si>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</si>
  <si>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</si>
  <si>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</si>
  <si>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</si>
  <si>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</si>
  <si>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</si>
  <si>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</si>
  <si>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</si>
  <si>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</si>
  <si>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</si>
  <si>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</si>
  <si>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</si>
  <si>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</si>
  <si>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</si>
  <si>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</si>
  <si>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</si>
  <si>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</si>
  <si>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</si>
  <si>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</si>
  <si>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</si>
  <si>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</si>
  <si>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</si>
  <si>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</si>
  <si>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</si>
  <si>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</si>
  <si>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</si>
  <si>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</si>
  <si>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</si>
  <si>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</si>
  <si>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</si>
  <si>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</si>
  <si>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</si>
  <si>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</si>
  <si>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</si>
  <si>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</si>
  <si>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</si>
  <si>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</si>
  <si>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</si>
  <si>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</si>
  <si>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</si>
  <si>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</si>
  <si>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</si>
  <si>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</si>
  <si>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</si>
  <si>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</si>
  <si>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</si>
  <si>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</si>
  <si>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</si>
  <si>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</si>
  <si>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</si>
  <si>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</si>
  <si>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</si>
  <si>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</si>
  <si>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</si>
  <si>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</si>
  <si>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</si>
  <si>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</si>
  <si>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</si>
  <si>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</si>
  <si>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</si>
  <si>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</si>
  <si>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</si>
  <si>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</si>
  <si>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</si>
  <si>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</si>
  <si>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</si>
  <si>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</si>
  <si>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</si>
  <si>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</si>
  <si>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</si>
  <si>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</si>
  <si>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</si>
  <si>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</si>
  <si>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</si>
  <si>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</si>
  <si>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</si>
  <si>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</si>
  <si>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</si>
  <si>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</si>
  <si>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</si>
  <si>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</si>
  <si>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</si>
  <si>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</si>
  <si>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</si>
  <si>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</si>
  <si>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</si>
  <si>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</si>
  <si>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</si>
  <si>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</si>
  <si>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</si>
  <si>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</si>
  <si>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</si>
  <si>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</si>
  <si>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</si>
  <si>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</si>
  <si>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</si>
  <si>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</si>
  <si>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</si>
  <si>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</si>
  <si>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</si>
  <si>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</si>
  <si>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</si>
  <si>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</si>
  <si>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</si>
  <si>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</si>
  <si>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</si>
  <si>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</si>
  <si>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</si>
  <si>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</si>
  <si>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</si>
  <si>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</si>
  <si>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</si>
  <si>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</si>
  <si>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</si>
  <si>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</si>
  <si>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</si>
  <si>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</si>
  <si>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</si>
  <si>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</si>
  <si>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</si>
  <si>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</si>
  <si>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</si>
  <si>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</si>
  <si>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</si>
  <si>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</si>
  <si>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</si>
  <si>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</si>
  <si>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</si>
  <si>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</si>
  <si>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</si>
  <si>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</si>
  <si>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</si>
  <si>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</si>
  <si>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</si>
  <si>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</si>
  <si>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</si>
  <si>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</si>
  <si>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</si>
  <si>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</si>
  <si>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</si>
  <si>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</si>
  <si>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</si>
  <si>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</si>
  <si>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</si>
  <si>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</si>
  <si>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</si>
  <si>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</si>
  <si>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</si>
  <si>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</si>
  <si>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</si>
  <si>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</si>
  <si>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</si>
  <si>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</si>
  <si>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</si>
  <si>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</si>
  <si>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</si>
  <si>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</si>
  <si>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</si>
  <si>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</si>
  <si>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</si>
  <si>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</si>
  <si>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</si>
  <si>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</si>
  <si>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</si>
  <si>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</si>
  <si>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</si>
  <si>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</si>
  <si>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</si>
  <si>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</si>
  <si>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</si>
  <si>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</si>
  <si>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</si>
  <si>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</si>
  <si>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</si>
  <si>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</si>
  <si>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</si>
  <si>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</si>
  <si>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</si>
  <si>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</si>
  <si>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</si>
  <si>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</si>
  <si>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</si>
  <si>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</si>
  <si>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</si>
  <si>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</si>
  <si>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</si>
  <si>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</si>
  <si>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</si>
  <si>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</si>
  <si>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</si>
  <si>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</si>
  <si>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</si>
  <si>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</si>
  <si>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</si>
  <si>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</si>
  <si>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</si>
  <si>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</si>
  <si>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</si>
  <si>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</si>
  <si>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</si>
  <si>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</si>
  <si>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</si>
  <si>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</si>
  <si>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</si>
  <si>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</si>
  <si>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</si>
  <si>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</si>
  <si>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</si>
  <si>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</si>
  <si>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</si>
  <si>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</si>
  <si>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</si>
  <si>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</si>
  <si>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</si>
  <si>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</si>
  <si>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</si>
  <si>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</si>
  <si>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</si>
  <si>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</si>
  <si>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</si>
  <si>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</si>
  <si>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</si>
  <si>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</si>
  <si>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</si>
  <si>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</si>
  <si>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</si>
  <si>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</si>
  <si>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</si>
  <si>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</si>
  <si>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</si>
  <si>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</si>
  <si>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</si>
  <si>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</si>
  <si>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</si>
  <si>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</si>
  <si>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</si>
  <si>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</si>
  <si>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</si>
  <si>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</si>
  <si>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</si>
  <si>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</si>
  <si>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</si>
  <si>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</si>
  <si>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</si>
  <si>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</si>
  <si>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</si>
  <si>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</si>
  <si>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</si>
  <si>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</si>
  <si>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</si>
  <si>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</si>
  <si>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</si>
  <si>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</si>
  <si>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</si>
  <si>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</si>
  <si>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</si>
  <si>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</si>
  <si>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</si>
  <si>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</si>
  <si>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</si>
  <si>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</si>
  <si>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</si>
  <si>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</si>
  <si>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</si>
  <si>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</si>
  <si>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</si>
  <si>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</si>
  <si>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</si>
  <si>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</si>
  <si>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</si>
  <si>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</si>
  <si>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</si>
  <si>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</si>
  <si>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</si>
  <si>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</si>
  <si>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</si>
  <si>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</si>
  <si>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</si>
  <si>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</si>
  <si>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</si>
  <si>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</si>
  <si>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</si>
  <si>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</si>
  <si>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</si>
  <si>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</si>
  <si>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</si>
  <si>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</si>
  <si>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</si>
  <si>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</si>
  <si>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</si>
  <si>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</si>
  <si>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</si>
  <si>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</si>
  <si>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</si>
  <si>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</si>
  <si>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</si>
  <si>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</si>
  <si>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</si>
  <si>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</si>
  <si>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</si>
  <si>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</si>
  <si>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</si>
  <si>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</si>
  <si>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</si>
  <si>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</si>
  <si>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</si>
  <si>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</si>
  <si>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</si>
  <si>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</si>
  <si>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</si>
  <si>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</si>
  <si>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</si>
  <si>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</si>
  <si>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</si>
  <si>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</si>
  <si>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</si>
  <si>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</si>
  <si>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</si>
  <si>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</si>
  <si>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</si>
  <si>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</si>
  <si>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</si>
  <si>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</si>
  <si>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</si>
  <si>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</si>
  <si>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</si>
  <si>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</si>
  <si>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</si>
  <si>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</si>
  <si>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</si>
  <si>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</si>
  <si>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</si>
  <si>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</si>
  <si>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</si>
  <si>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</si>
  <si>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</si>
  <si>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</si>
  <si>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</si>
  <si>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</si>
  <si>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</si>
  <si>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</si>
  <si>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</si>
  <si>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</si>
  <si>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</si>
  <si>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</si>
  <si>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</si>
  <si>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</si>
  <si>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</si>
  <si>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</si>
  <si>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</si>
  <si>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</si>
  <si>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</si>
  <si>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</si>
  <si>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</si>
  <si>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</si>
  <si>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</si>
  <si>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</si>
  <si>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</si>
  <si>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</si>
  <si>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</si>
  <si>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</si>
  <si>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</si>
  <si>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</si>
  <si>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</si>
  <si>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</si>
  <si>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</si>
  <si>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</si>
  <si>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</si>
  <si>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</si>
  <si>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</si>
  <si>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</si>
  <si>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</si>
  <si>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</si>
  <si>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</si>
  <si>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</si>
  <si>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</si>
  <si>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</si>
  <si>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</si>
  <si>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</si>
  <si>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</si>
  <si>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</si>
  <si>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</si>
  <si>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</si>
  <si>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</si>
  <si>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</si>
  <si>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</si>
  <si>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</si>
  <si>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</si>
  <si>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</si>
  <si>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</si>
  <si>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</si>
  <si>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</si>
  <si>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</si>
  <si>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</si>
  <si>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</si>
  <si>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</si>
  <si>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</si>
  <si>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</si>
  <si>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</si>
  <si>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</si>
  <si>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</si>
  <si>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</si>
  <si>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</si>
  <si>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</si>
  <si>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</si>
  <si>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</si>
  <si>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</si>
  <si>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</si>
  <si>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</si>
  <si>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</si>
  <si>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</si>
  <si>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</si>
  <si>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</si>
  <si>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</si>
  <si>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</si>
  <si>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</si>
  <si>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</si>
  <si>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</si>
  <si>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</si>
  <si>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</si>
  <si>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</si>
  <si>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</si>
  <si>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</si>
  <si>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</si>
  <si>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</si>
  <si>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</si>
  <si>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</si>
  <si>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</si>
  <si>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</si>
  <si>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</si>
  <si>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</si>
  <si>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</si>
  <si>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</si>
  <si>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</si>
  <si>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</si>
  <si>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</si>
  <si>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</si>
  <si>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</si>
  <si>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</si>
  <si>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</si>
  <si>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</si>
  <si>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</si>
  <si>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</si>
  <si>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</si>
  <si>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</si>
  <si>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</si>
  <si>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</si>
  <si>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</si>
  <si>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</si>
  <si>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</si>
  <si>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</si>
  <si>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</si>
  <si>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</si>
  <si>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</si>
  <si>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</si>
  <si>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</si>
  <si>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</si>
  <si>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</si>
  <si>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</si>
  <si>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</si>
  <si>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</si>
  <si>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</si>
  <si>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</si>
  <si>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</si>
  <si>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</si>
  <si>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</si>
  <si>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</si>
  <si>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</si>
  <si>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</si>
  <si>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</si>
  <si>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</si>
  <si>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</si>
  <si>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</si>
  <si>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</si>
  <si>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</si>
  <si>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</si>
  <si>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</si>
  <si>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</si>
  <si>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</si>
  <si>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</si>
  <si>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</si>
  <si>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</si>
  <si>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</si>
  <si>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</si>
  <si>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</si>
  <si>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</si>
  <si>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</si>
  <si>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</si>
  <si>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</si>
  <si>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</si>
  <si>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</si>
  <si>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</si>
  <si>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</si>
  <si>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</si>
  <si>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</si>
  <si>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</si>
  <si>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</si>
  <si>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</si>
  <si>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</si>
  <si>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</si>
  <si>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</si>
  <si>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</si>
  <si>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</si>
  <si>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</si>
  <si>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</si>
  <si>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</si>
  <si>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</si>
  <si>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</si>
  <si>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</si>
  <si>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</si>
  <si>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</si>
  <si>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</si>
  <si>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</si>
  <si>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</si>
  <si>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</si>
  <si>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</si>
  <si>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</si>
  <si>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</si>
  <si>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</si>
  <si>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</si>
  <si>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</si>
  <si>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</si>
  <si>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</si>
  <si>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</si>
  <si>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</si>
  <si>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</si>
  <si>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</si>
  <si>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</si>
  <si>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</si>
  <si>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</si>
  <si>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</si>
  <si>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</si>
  <si>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</si>
  <si>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</si>
  <si>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</si>
  <si>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</si>
  <si>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</si>
  <si>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</si>
  <si>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</si>
  <si>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</si>
  <si>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</si>
  <si>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</si>
  <si>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</si>
  <si>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</si>
  <si>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</si>
  <si>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</si>
  <si>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</si>
  <si>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</si>
  <si>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</si>
  <si>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</si>
  <si>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</si>
  <si>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</si>
  <si>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</si>
  <si>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</si>
  <si>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</si>
  <si>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</si>
  <si>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</si>
  <si>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</si>
  <si>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</si>
  <si>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</si>
  <si>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</si>
  <si>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</si>
  <si>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</si>
  <si>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</si>
  <si>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</si>
  <si>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</si>
  <si>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</si>
  <si>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</si>
  <si>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</si>
  <si>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</si>
  <si>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</si>
  <si>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</si>
  <si>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</si>
  <si>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</si>
  <si>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</si>
  <si>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</si>
  <si>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</si>
  <si>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</si>
  <si>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</si>
  <si>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</si>
  <si>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</si>
  <si>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</si>
  <si>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</si>
  <si>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</si>
  <si>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</si>
  <si>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</si>
  <si>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</si>
  <si>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</si>
  <si>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</si>
  <si>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</si>
  <si>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</si>
  <si>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</si>
  <si>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</si>
  <si>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</si>
  <si>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</si>
  <si>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</si>
  <si>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</si>
  <si>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</si>
  <si>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</si>
  <si>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</si>
  <si>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</si>
  <si>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</si>
  <si>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</si>
  <si>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</si>
  <si>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</si>
  <si>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</si>
  <si>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</si>
  <si>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</si>
  <si>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</si>
  <si>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</si>
  <si>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</si>
  <si>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</si>
  <si>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</si>
  <si>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</si>
  <si>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</si>
  <si>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</si>
  <si>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</si>
  <si>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</si>
  <si>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</si>
  <si>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</si>
  <si>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</si>
  <si>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</si>
  <si>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</si>
  <si>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</si>
  <si>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</si>
  <si>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</si>
  <si>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</si>
  <si>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</si>
  <si>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</si>
  <si>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</si>
  <si>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</si>
  <si>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</si>
  <si>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</si>
  <si>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</si>
  <si>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</si>
  <si>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</si>
  <si>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</si>
  <si>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</si>
  <si>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</si>
  <si>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</si>
  <si>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</si>
  <si>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</si>
  <si>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</si>
  <si>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</si>
  <si>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</si>
  <si>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</si>
  <si>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</si>
  <si>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</si>
  <si>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</si>
  <si>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</si>
  <si>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</si>
  <si>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</si>
  <si>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</si>
  <si>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</si>
  <si>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</si>
  <si>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</si>
  <si>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</si>
  <si>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</si>
  <si>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</si>
  <si>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</si>
  <si>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</si>
  <si>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</si>
  <si>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</si>
  <si>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</si>
  <si>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</si>
  <si>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</si>
  <si>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</si>
  <si>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</si>
  <si>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</si>
  <si>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</si>
  <si>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</si>
  <si>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</si>
  <si>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</si>
  <si>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</si>
  <si>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</si>
  <si>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</si>
  <si>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</si>
  <si>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</si>
  <si>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</si>
  <si>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</si>
  <si>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</si>
  <si>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</si>
  <si>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</si>
  <si>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</si>
  <si>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</si>
  <si>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</si>
  <si>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</si>
  <si>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</si>
  <si>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</si>
  <si>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</si>
  <si>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</si>
  <si>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</si>
  <si>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</si>
  <si>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</si>
  <si>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</si>
  <si>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</si>
  <si>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</si>
  <si>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</si>
  <si>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</si>
  <si>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</si>
  <si>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</si>
  <si>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</si>
  <si>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</si>
  <si>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</si>
  <si>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</si>
  <si>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</si>
  <si>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</si>
  <si>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</si>
  <si>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</si>
  <si>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</si>
  <si>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</si>
  <si>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</si>
  <si>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</si>
  <si>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</si>
  <si>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</si>
  <si>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</si>
  <si>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</si>
  <si>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</si>
  <si>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</si>
  <si>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</si>
  <si>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</si>
  <si>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</si>
  <si>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</si>
  <si>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</si>
  <si>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</si>
  <si>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</si>
  <si>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</si>
  <si>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</si>
  <si>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</si>
  <si>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</si>
  <si>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</si>
  <si>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</si>
  <si>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</si>
  <si>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</si>
  <si>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</si>
  <si>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</si>
  <si>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</si>
  <si>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</si>
  <si>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</si>
  <si>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</si>
  <si>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</si>
  <si>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</si>
  <si>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</si>
  <si>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</si>
  <si>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</si>
  <si>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</si>
  <si>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</si>
  <si>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</si>
  <si>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</si>
  <si>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</si>
  <si>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</si>
  <si>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</si>
  <si>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</si>
  <si>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</si>
  <si>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</si>
  <si>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</si>
  <si>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</si>
  <si>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</si>
  <si>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</si>
  <si>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</si>
  <si>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</si>
  <si>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</si>
  <si>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</si>
  <si>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</si>
  <si>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</si>
  <si>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</si>
  <si>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</si>
  <si>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</si>
  <si>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</si>
  <si>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</si>
  <si>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</si>
  <si>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</si>
  <si>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</si>
  <si>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</si>
  <si>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</si>
  <si>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</si>
  <si>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</si>
  <si>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</si>
  <si>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</si>
  <si>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</si>
  <si>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</si>
  <si>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</si>
  <si>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</si>
  <si>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</si>
  <si>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</si>
  <si>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</si>
  <si>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</si>
  <si>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</si>
  <si>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</si>
  <si>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</si>
  <si>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</si>
  <si>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</si>
  <si>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</si>
  <si>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</si>
  <si>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</si>
  <si>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</si>
  <si>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</si>
  <si>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</si>
  <si>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</si>
  <si>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</si>
  <si>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</si>
  <si>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</si>
  <si>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</si>
  <si>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</si>
  <si>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</si>
  <si>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</si>
  <si>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</si>
  <si>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</si>
  <si>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</si>
  <si>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</si>
  <si>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</si>
  <si>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</si>
  <si>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</si>
  <si>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</si>
  <si>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</si>
  <si>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</si>
  <si>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</si>
  <si>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</si>
  <si>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</si>
  <si>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</si>
  <si>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</si>
  <si>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</si>
  <si>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</si>
  <si>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</si>
  <si>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</si>
  <si>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</si>
  <si>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</si>
  <si>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</si>
  <si>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</si>
  <si>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</si>
  <si>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</si>
  <si>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</si>
  <si>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</si>
  <si>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</si>
  <si>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</si>
  <si>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</si>
  <si>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</si>
  <si>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</si>
  <si>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</si>
  <si>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</si>
  <si>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</si>
  <si>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</si>
  <si>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</si>
  <si>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</si>
  <si>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</si>
  <si>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</si>
  <si>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</si>
  <si>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</si>
  <si>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</si>
  <si>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</si>
  <si>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</si>
  <si>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</si>
  <si>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</si>
  <si>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</si>
  <si>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</si>
  <si>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</si>
  <si>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</si>
  <si>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</si>
  <si>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</si>
  <si>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</si>
  <si>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</si>
  <si>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</si>
  <si>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</si>
  <si>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</si>
  <si>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</si>
  <si>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</si>
  <si>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</si>
  <si>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</si>
  <si>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</si>
  <si>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</si>
  <si>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</si>
  <si>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</si>
  <si>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</si>
  <si>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</si>
  <si>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</si>
  <si>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</si>
  <si>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</si>
  <si>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</si>
  <si>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</si>
  <si>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</si>
  <si>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</si>
  <si>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</si>
  <si>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</si>
  <si>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</si>
  <si>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</si>
  <si>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</si>
  <si>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</si>
  <si>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</si>
  <si>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</si>
  <si>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</si>
  <si>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</si>
  <si>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</si>
  <si>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</si>
  <si>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</si>
  <si>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</si>
  <si>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</si>
  <si>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</si>
  <si>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</si>
  <si>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</si>
  <si>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</si>
  <si>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</si>
  <si>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</si>
  <si>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</si>
  <si>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</si>
  <si>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</si>
  <si>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</si>
  <si>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</si>
  <si>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</si>
  <si>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</si>
  <si>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</si>
  <si>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</si>
  <si>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</si>
  <si>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</si>
  <si>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</si>
  <si>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</si>
  <si>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</si>
  <si>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</si>
  <si>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</si>
  <si>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</si>
  <si>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</si>
  <si>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</si>
  <si>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</si>
  <si>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</si>
  <si>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</si>
  <si>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</si>
  <si>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</si>
  <si>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</si>
  <si>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</si>
  <si>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</si>
  <si>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</si>
  <si>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</si>
  <si>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</si>
  <si>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</si>
  <si>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</si>
  <si>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</si>
  <si>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</si>
  <si>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</si>
  <si>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</si>
  <si>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</si>
  <si>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</si>
  <si>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</si>
  <si>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</si>
  <si>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</si>
  <si>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</si>
  <si>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</si>
  <si>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</si>
  <si>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</si>
  <si>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</si>
  <si>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</si>
  <si>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</si>
  <si>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</si>
  <si>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</si>
  <si>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</si>
  <si>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</si>
  <si>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</si>
  <si>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</si>
  <si>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</si>
  <si>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</si>
  <si>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</si>
  <si>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</si>
  <si>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</si>
  <si>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</si>
  <si>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</si>
  <si>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</si>
  <si>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</si>
  <si>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</si>
  <si>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</si>
  <si>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</si>
  <si>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</si>
  <si>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</si>
  <si>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</si>
  <si>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</si>
  <si>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</si>
  <si>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</si>
  <si>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</si>
  <si>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</si>
  <si>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</si>
  <si>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</si>
  <si>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</si>
  <si>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</si>
  <si>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</si>
  <si>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</si>
  <si>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</si>
  <si>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</si>
  <si>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</si>
  <si>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</si>
  <si>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</si>
  <si>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</si>
  <si>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</si>
  <si>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</si>
  <si>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</si>
  <si>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</si>
  <si>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</si>
  <si>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</si>
  <si>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</si>
  <si>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</si>
  <si>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</si>
  <si>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</si>
  <si>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</si>
  <si>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</si>
  <si>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</si>
  <si>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</si>
  <si>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</si>
  <si>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</si>
  <si>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</si>
  <si>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</si>
  <si>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</si>
  <si>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</si>
  <si>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</si>
  <si>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</si>
  <si>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</si>
  <si>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</si>
  <si>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</si>
  <si>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</si>
  <si>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</si>
  <si>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</si>
  <si>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</si>
  <si>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</si>
  <si>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</si>
  <si>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</si>
  <si>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</si>
  <si>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</si>
  <si>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</si>
  <si>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</si>
  <si>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</si>
  <si>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</si>
  <si>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</si>
  <si>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</si>
  <si>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</si>
  <si>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</si>
  <si>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</si>
  <si>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</si>
  <si>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</si>
  <si>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</si>
  <si>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</si>
  <si>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</si>
  <si>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</si>
  <si>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</si>
  <si>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</si>
  <si>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</si>
  <si>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</si>
  <si>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</si>
  <si>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</si>
  <si>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</si>
  <si>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</si>
  <si>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</si>
  <si>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</si>
  <si>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</si>
  <si>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</si>
  <si>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</si>
  <si>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</si>
  <si>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</si>
  <si>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</si>
  <si>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</si>
  <si>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</si>
  <si>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</si>
  <si>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</si>
  <si>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</si>
  <si>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</si>
  <si>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</si>
  <si>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</si>
  <si>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</si>
  <si>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</si>
  <si>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</si>
  <si>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</si>
  <si>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</si>
  <si>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</si>
  <si>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</si>
  <si>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</si>
  <si>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</si>
  <si>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</si>
  <si>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</si>
  <si>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</si>
  <si>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</si>
  <si>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</si>
  <si>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</si>
  <si>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</si>
  <si>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</si>
  <si>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</si>
  <si>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</si>
  <si>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</si>
  <si>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</si>
  <si>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</si>
  <si>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</si>
  <si>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</si>
  <si>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</si>
  <si>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</si>
  <si>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</si>
  <si>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</si>
  <si>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</si>
  <si>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</si>
  <si>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</si>
  <si>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</si>
  <si>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</si>
  <si>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</si>
  <si>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</si>
  <si>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</si>
  <si>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</si>
  <si>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</si>
  <si>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</si>
  <si>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</si>
  <si>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</si>
  <si>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</si>
  <si>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</si>
  <si>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</si>
  <si>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</si>
  <si>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</si>
  <si>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</si>
  <si>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</si>
  <si>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</si>
  <si>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</si>
  <si>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</si>
  <si>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</si>
  <si>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</si>
  <si>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</si>
  <si>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</si>
  <si>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</si>
  <si>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</si>
  <si>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</si>
  <si>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</si>
  <si>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</si>
  <si>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</si>
  <si>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</si>
  <si>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</si>
  <si>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</si>
  <si>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</si>
  <si>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</si>
  <si>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</si>
  <si>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</si>
  <si>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</si>
  <si>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</si>
  <si>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</si>
  <si>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</si>
  <si>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</si>
  <si>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</si>
  <si>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</si>
  <si>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</si>
  <si>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</si>
  <si>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</si>
  <si>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</si>
  <si>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</si>
  <si>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</si>
  <si>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</si>
  <si>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</si>
  <si>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</si>
  <si>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</si>
  <si>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</si>
  <si>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</si>
  <si>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</si>
  <si>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</si>
  <si>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</si>
  <si>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</si>
  <si>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</si>
  <si>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</si>
  <si>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</si>
  <si>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</si>
  <si>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</si>
  <si>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</si>
  <si>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</si>
  <si>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</si>
  <si>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</si>
  <si>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</si>
  <si>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</si>
  <si>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</si>
  <si>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</si>
  <si>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</si>
  <si>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</si>
  <si>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</si>
  <si>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</si>
  <si>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</si>
  <si>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</si>
  <si>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</si>
  <si>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</si>
  <si>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</si>
  <si>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</si>
  <si>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</si>
  <si>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</si>
  <si>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</si>
  <si>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</si>
  <si>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</si>
  <si>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</si>
  <si>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</si>
  <si>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</si>
  <si>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</si>
  <si>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</si>
  <si>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</si>
  <si>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</si>
  <si>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</si>
  <si>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</si>
  <si>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</si>
  <si>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</si>
  <si>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</si>
  <si>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</si>
  <si>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</si>
  <si>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</si>
  <si>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</si>
  <si>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</si>
  <si>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</si>
  <si>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</si>
  <si>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</si>
  <si>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</si>
  <si>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</si>
  <si>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</si>
  <si>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</si>
  <si>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</si>
  <si>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</si>
  <si>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</si>
  <si>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</si>
  <si>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</si>
  <si>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</si>
  <si>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</si>
  <si>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</si>
  <si>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</si>
  <si>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</si>
  <si>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</si>
  <si>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</si>
  <si>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</si>
  <si>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</si>
  <si>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</si>
  <si>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</si>
  <si>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</si>
  <si>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</si>
  <si>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</si>
  <si>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</si>
  <si>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</si>
  <si>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</si>
  <si>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</si>
  <si>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</si>
  <si>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</si>
  <si>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</si>
  <si>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</si>
  <si>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</si>
  <si>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</si>
  <si>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</si>
  <si>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</si>
  <si>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</si>
  <si>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</si>
  <si>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</si>
  <si>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</si>
  <si>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</si>
  <si>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</si>
  <si>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</si>
  <si>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</si>
  <si>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</si>
  <si>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</si>
  <si>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</si>
  <si>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</si>
  <si>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</si>
  <si>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</si>
  <si>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</si>
  <si>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</si>
  <si>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</si>
  <si>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</si>
  <si>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</si>
  <si>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</si>
  <si>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</si>
  <si>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</si>
  <si>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</si>
  <si>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</si>
  <si>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</si>
  <si>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</si>
  <si>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</si>
  <si>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</si>
  <si>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</si>
  <si>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</si>
  <si>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</si>
  <si>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</si>
  <si>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</si>
  <si>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</si>
  <si>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</si>
  <si>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</si>
  <si>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</si>
  <si>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</si>
  <si>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</si>
  <si>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</si>
  <si>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</si>
  <si>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</si>
  <si>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</si>
  <si>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</si>
  <si>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</si>
  <si>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</si>
  <si>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</si>
  <si>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</si>
  <si>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</si>
  <si>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</si>
  <si>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</si>
  <si>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</si>
  <si>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</si>
  <si>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</si>
  <si>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</si>
  <si>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</si>
  <si>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</si>
  <si>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</si>
  <si>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</si>
  <si>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</si>
  <si>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</si>
  <si>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</si>
  <si>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</si>
  <si>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</si>
  <si>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</si>
  <si>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</si>
  <si>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</si>
  <si>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</si>
  <si>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</si>
  <si>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</si>
  <si>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</si>
  <si>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</si>
  <si>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</si>
  <si>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</si>
  <si>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</si>
  <si>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</si>
  <si>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</si>
  <si>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</si>
  <si>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</si>
  <si>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</si>
  <si>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</si>
  <si>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</si>
  <si>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</si>
  <si>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</si>
  <si>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</si>
  <si>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</si>
  <si>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</si>
  <si>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</si>
  <si>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</si>
  <si>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</si>
  <si>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</si>
  <si>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</si>
  <si>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</si>
  <si>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</si>
  <si>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</si>
  <si>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</si>
  <si>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</si>
  <si>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</si>
  <si>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</si>
  <si>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</si>
  <si>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</si>
  <si>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</si>
  <si>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</si>
  <si>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</si>
  <si>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</si>
  <si>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</si>
  <si>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</si>
  <si>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</si>
  <si>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</si>
  <si>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</si>
  <si>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</si>
  <si>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</si>
  <si>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</si>
  <si>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</si>
  <si>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</si>
  <si>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</si>
  <si>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</si>
  <si>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</si>
  <si>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</si>
  <si>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</si>
  <si>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</si>
  <si>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</si>
  <si>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</si>
  <si>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</si>
  <si>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</si>
  <si>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</si>
  <si>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</si>
  <si>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</si>
  <si>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</si>
  <si>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</si>
  <si>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</si>
  <si>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</si>
  <si>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</si>
  <si>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</si>
  <si>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</si>
  <si>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</si>
  <si>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</si>
  <si>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</si>
  <si>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</si>
  <si>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</si>
  <si>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</si>
  <si>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</si>
  <si>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</si>
  <si>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</si>
  <si>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</si>
  <si>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</si>
  <si>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</si>
  <si>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</si>
  <si>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</si>
  <si>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</si>
  <si>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</si>
  <si>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</si>
  <si>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</si>
  <si>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</si>
  <si>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</si>
  <si>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</si>
  <si>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</si>
  <si>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</si>
  <si>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</si>
  <si>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</si>
  <si>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</si>
  <si>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</si>
  <si>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</si>
  <si>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</si>
  <si>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</si>
  <si>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</si>
  <si>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</si>
  <si>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</si>
  <si>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</si>
  <si>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</si>
  <si>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</si>
  <si>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</si>
  <si>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</si>
  <si>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</si>
  <si>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</si>
  <si>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</si>
  <si>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</si>
  <si>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</si>
  <si>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</si>
  <si>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</si>
  <si>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</si>
  <si>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</si>
  <si>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</si>
  <si>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</si>
  <si>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</si>
  <si>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</si>
  <si>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</si>
  <si>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</si>
  <si>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</si>
  <si>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</si>
  <si>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</si>
  <si>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</si>
  <si>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</si>
  <si>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</si>
  <si>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</si>
  <si>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</si>
  <si>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</si>
  <si>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</si>
  <si>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</si>
  <si>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</si>
  <si>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</si>
  <si>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</si>
  <si>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</si>
  <si>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</si>
  <si>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</si>
  <si>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</si>
  <si>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</si>
  <si>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</si>
  <si>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</si>
  <si>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</si>
  <si>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</si>
  <si>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</si>
  <si>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</si>
  <si>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</si>
  <si>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</si>
  <si>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</si>
  <si>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</si>
  <si>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</si>
  <si>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</si>
  <si>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</si>
  <si>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</si>
  <si>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</si>
  <si>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</si>
  <si>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</si>
  <si>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</si>
  <si>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</si>
  <si>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</si>
  <si>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</si>
  <si>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</si>
  <si>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</si>
  <si>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</si>
  <si>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</si>
  <si>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</si>
  <si>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</si>
  <si>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</si>
  <si>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</si>
  <si>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</si>
  <si>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</si>
  <si>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</si>
  <si>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</si>
  <si>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</si>
  <si>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</si>
  <si>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</si>
  <si>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</si>
  <si>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</si>
  <si>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</si>
  <si>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</si>
  <si>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</si>
  <si>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</si>
  <si>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</si>
  <si>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</si>
  <si>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</si>
  <si>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</si>
  <si>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</si>
  <si>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</si>
  <si>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</si>
  <si>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</si>
  <si>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</si>
  <si>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</si>
  <si>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</si>
  <si>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</si>
  <si>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</si>
  <si>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</si>
  <si>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</si>
  <si>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</si>
  <si>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</si>
  <si>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</si>
  <si>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</si>
  <si>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</si>
  <si>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</si>
  <si>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</si>
  <si>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</si>
  <si>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</si>
  <si>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</si>
  <si>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</si>
  <si>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</si>
  <si>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</si>
  <si>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</si>
  <si>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</si>
  <si>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</si>
  <si>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</si>
  <si>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</si>
  <si>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</si>
  <si>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</si>
  <si>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</si>
  <si>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</si>
  <si>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</si>
  <si>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</si>
  <si>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</si>
  <si>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</si>
  <si>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</si>
  <si>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</si>
  <si>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</si>
  <si>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</si>
  <si>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</si>
  <si>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</si>
  <si>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</si>
  <si>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</si>
  <si>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</si>
  <si>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</si>
  <si>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</si>
  <si>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</si>
  <si>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</si>
  <si>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</si>
  <si>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</si>
  <si>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</si>
  <si>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</si>
  <si>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</si>
  <si>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</si>
  <si>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</si>
  <si>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</si>
  <si>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</si>
  <si>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</si>
  <si>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</si>
  <si>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E-tec Interconnect Asia Co., Ltd. / E-tec Interconnect AG / EMC electro mechanical components GmbH</t>
  </si>
  <si>
    <t>Deningerstrasse 4a, 65510 Idstein</t>
  </si>
  <si>
    <t>Fabian Girolstein</t>
  </si>
  <si>
    <t>f.girolstein@emc.de</t>
  </si>
  <si>
    <t>+49612693950</t>
  </si>
  <si>
    <t>Ryan Chou</t>
  </si>
  <si>
    <t>Engineer</t>
  </si>
  <si>
    <t>ryan.chou@e-tec-asia.com.tw</t>
  </si>
  <si>
    <t>886-2-2999-2726</t>
  </si>
  <si>
    <t>As the main component of copper alloy</t>
  </si>
  <si>
    <t>Nickel plating on metal surface</t>
  </si>
  <si>
    <t>100%</t>
  </si>
  <si>
    <t>CID003878</t>
    <phoneticPr fontId="84" type="noConversion"/>
  </si>
  <si>
    <t>CID004693</t>
    <phoneticPr fontId="84" type="noConversion"/>
  </si>
  <si>
    <t>CID003968</t>
    <phoneticPr fontId="84" type="noConversion"/>
  </si>
  <si>
    <t>CID003975</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</si>
</sst>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yan.chou@e-tec-asia.com.tw" TargetMode="External"/><Relationship Id="rId1" Type="http://schemas.openxmlformats.org/officeDocument/2006/relationships/hyperlink" Target="mailto:f.girolstein@emc.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baseColWidth="10"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9.5">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297">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4.5">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02.5">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2.5">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21.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6B5BC9C-A4AF-496D-A804-408EC6F30028}"/>
    </customSheetView>
    <customSheetView guid="{4BDF1A28-30D5-449D-B20E-D6C97EF9FAE1}" showAutoFilter="1">
      <selection activeCell="C174" sqref="C174"/>
      <pageMargins left="0" right="0" top="0" bottom="0" header="0" footer="0"/>
      <pageSetup paperSize="9" orientation="portrait"/>
      <autoFilter ref="B1:N1" xr:uid="{8AA821C0-64A5-4268-BB8D-C59808D2C24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baseColWidth="10"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8F65FD1-7715-4885-A3C6-323E77DD4EDF}"/>
    </customSheetView>
    <customSheetView guid="{4BDF1A28-30D5-449D-B20E-D6C97EF9FAE1}" showAutoFilter="1">
      <selection activeCell="C1" sqref="C1:D65536"/>
      <pageMargins left="0" right="0" top="0" bottom="0" header="0" footer="0"/>
      <pageSetup orientation="portrait"/>
      <autoFilter ref="B1:C1" xr:uid="{31373265-53E7-472B-9A41-8B5F8AFCA86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baseColWidth="10"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7"/>
      <c r="B1" s="438"/>
      <c r="C1" s="438"/>
      <c r="D1" s="438"/>
      <c r="E1" s="438"/>
      <c r="F1" s="438"/>
      <c r="G1" s="438"/>
      <c r="H1" s="438"/>
      <c r="I1" s="438"/>
      <c r="J1" s="438"/>
      <c r="K1" s="439"/>
      <c r="L1" s="101"/>
      <c r="P1" s="2"/>
      <c r="Q1" s="2"/>
      <c r="R1" s="2"/>
      <c r="S1" s="2"/>
      <c r="T1" s="2"/>
      <c r="U1" s="2"/>
      <c r="V1" s="2"/>
      <c r="W1" s="2"/>
      <c r="X1" s="2"/>
      <c r="Y1" s="2"/>
      <c r="Z1" s="2"/>
      <c r="AA1" s="2"/>
      <c r="AB1" s="2"/>
      <c r="AC1" s="2"/>
      <c r="AD1" s="2"/>
      <c r="AE1" s="2"/>
      <c r="AF1" s="2"/>
      <c r="AG1" s="2"/>
      <c r="AH1" s="2"/>
    </row>
    <row r="2" spans="1:34" ht="81.75" customHeight="1">
      <c r="A2" s="27"/>
      <c r="B2" s="281"/>
      <c r="C2" s="28"/>
      <c r="D2" s="440" t="str">
        <f ca="1">OFFSET(L!$C$1,MATCH("Declaration"&amp;ADDRESS(ROW(),COLUMN(),4),L!$A:$A,0)-1,SL,,)</f>
        <v>Extended Minerals Reporting Template (EMRT)</v>
      </c>
      <c r="E2" s="441"/>
      <c r="F2" s="441"/>
      <c r="G2" s="441"/>
      <c r="H2" s="441"/>
      <c r="I2" s="441"/>
      <c r="J2" s="442"/>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3" t="s">
        <v>18</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3" t="s">
        <v>20352</v>
      </c>
      <c r="E8" s="444"/>
      <c r="F8" s="444"/>
      <c r="G8" s="444"/>
      <c r="H8" s="444"/>
      <c r="I8" s="444"/>
      <c r="J8" s="445"/>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1"/>
      <c r="D10" s="447"/>
      <c r="E10" s="448"/>
      <c r="F10" s="448"/>
      <c r="G10" s="448"/>
      <c r="H10" s="448"/>
      <c r="I10" s="448"/>
      <c r="J10" s="449"/>
      <c r="K10" s="29"/>
      <c r="L10" s="103"/>
      <c r="Q10" s="2"/>
      <c r="R10" s="2"/>
      <c r="S10" s="2"/>
      <c r="T10" s="2"/>
      <c r="U10" s="2"/>
      <c r="V10" s="2"/>
      <c r="W10" s="2"/>
      <c r="X10" s="2"/>
      <c r="Y10" s="2"/>
      <c r="Z10" s="2"/>
      <c r="AA10" s="2"/>
      <c r="AB10" s="2"/>
      <c r="AC10" s="2"/>
      <c r="AD10" s="2"/>
      <c r="AE10" s="2"/>
      <c r="AF10" s="2"/>
      <c r="AG10" s="2"/>
      <c r="AH10" s="2"/>
    </row>
    <row r="11" spans="1:34" ht="15">
      <c r="A11" s="31"/>
      <c r="B11" s="453"/>
      <c r="C11" s="111"/>
      <c r="D11" s="454" t="str">
        <f ca="1">IF(D9=Q9,OFFSET(L!$C$1,MATCH("Declaration"&amp;ADDRESS(ROW(),COLUMN(),4),L!$A:$A,0)-1,SL,,),"")</f>
        <v/>
      </c>
      <c r="E11" s="455"/>
      <c r="F11" s="455"/>
      <c r="G11" s="455"/>
      <c r="H11" s="455"/>
      <c r="I11" s="455"/>
      <c r="J11" s="456"/>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57" t="s">
        <v>18108</v>
      </c>
      <c r="F12" s="458"/>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7" t="s">
        <v>18599</v>
      </c>
      <c r="F13" s="458"/>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59"/>
      <c r="C14" s="111"/>
      <c r="D14" s="296"/>
      <c r="E14" s="461"/>
      <c r="F14" s="46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0"/>
      <c r="C15" s="111"/>
      <c r="D15" s="296"/>
      <c r="E15" s="461"/>
      <c r="F15" s="46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Nickel</v>
      </c>
      <c r="V15" s="294" t="str">
        <f t="shared" si="16"/>
        <v>Nickel</v>
      </c>
      <c r="W15" s="294" t="str">
        <f t="shared" si="15"/>
        <v>Nickel</v>
      </c>
      <c r="X15" s="294" t="str">
        <f t="shared" si="16"/>
        <v>Nickel</v>
      </c>
      <c r="Y15" s="294" t="str">
        <f t="shared" si="15"/>
        <v>Nickel</v>
      </c>
      <c r="Z15" s="294" t="str">
        <f t="shared" si="16"/>
        <v>Nickel</v>
      </c>
      <c r="AA15" s="294" t="str" cm="1">
        <f t="array" ref="AA15">_xlfn.IFNA(INDEX($Z$12:$Z$21,MATCH(0,COUNTIF($AA$12:$AA14,$Z$12:$Z$21),0)),"")</f>
        <v>Nickel</v>
      </c>
      <c r="AB15" s="2"/>
      <c r="AC15" s="2"/>
      <c r="AD15" s="2"/>
      <c r="AE15" s="2"/>
      <c r="AF15" s="2"/>
      <c r="AG15" s="2"/>
    </row>
    <row r="16" spans="1:34" ht="1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Address:</v>
      </c>
      <c r="C18" s="66"/>
      <c r="D18" s="425" t="s">
        <v>20353</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20354</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82" t="s">
        <v>20355</v>
      </c>
      <c r="E20" s="433"/>
      <c r="F20" s="433"/>
      <c r="G20" s="433"/>
      <c r="H20" s="433"/>
      <c r="I20" s="433"/>
      <c r="J20" s="434"/>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5" t="s">
        <v>20356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20357</v>
      </c>
      <c r="E22" s="426"/>
      <c r="F22" s="426"/>
      <c r="G22" s="426"/>
      <c r="H22" s="426"/>
      <c r="I22" s="426"/>
      <c r="J22" s="427"/>
      <c r="K22" s="29"/>
      <c r="L22" s="97"/>
      <c r="Q22" s="2"/>
      <c r="R22" s="2"/>
      <c r="S22" s="2"/>
      <c r="T22" s="2"/>
      <c r="U22" s="2"/>
      <c r="V22" s="2"/>
      <c r="W22" s="2"/>
      <c r="X22" s="2"/>
      <c r="Y22" s="2"/>
      <c r="Z22" s="2"/>
      <c r="AA22" s="2">
        <f>10-COUNTIF(AA12:AA21,"")</f>
        <v>4</v>
      </c>
      <c r="AB22" s="2"/>
      <c r="AC22" s="2"/>
      <c r="AD22" s="2"/>
      <c r="AE22" s="2"/>
      <c r="AF22" s="2"/>
      <c r="AG22" s="2"/>
    </row>
    <row r="23" spans="1:33" ht="23">
      <c r="A23" s="31"/>
      <c r="B23" s="33" t="str">
        <f ca="1">OFFSET(L!$C$1,MATCH("Declaration"&amp;ADDRESS(ROW(),COLUMN(),4),L!$A:$A,0)-1,SL,,)</f>
        <v>Title - Authorizer:</v>
      </c>
      <c r="C23" s="66"/>
      <c r="D23" s="425" t="s">
        <v>20358</v>
      </c>
      <c r="E23" s="426"/>
      <c r="F23" s="426"/>
      <c r="G23" s="426"/>
      <c r="H23" s="426"/>
      <c r="I23" s="426"/>
      <c r="J23" s="427"/>
      <c r="K23" s="29"/>
      <c r="L23" s="97"/>
      <c r="P23" s="2"/>
      <c r="Q23" s="2"/>
      <c r="R23" s="2"/>
      <c r="S23" s="2"/>
      <c r="T23" s="2"/>
      <c r="U23" s="2"/>
      <c r="V23" s="2"/>
      <c r="W23" s="2"/>
      <c r="X23" s="2"/>
      <c r="Y23" s="2"/>
      <c r="Z23" s="2"/>
      <c r="AA23" s="2">
        <f>IF(AA22=0,0.1,AA22)</f>
        <v>4</v>
      </c>
      <c r="AB23" s="2"/>
      <c r="AC23" s="2"/>
      <c r="AD23" s="2"/>
      <c r="AE23" s="2"/>
      <c r="AF23" s="2"/>
      <c r="AG23" s="2"/>
    </row>
    <row r="24" spans="1:33" ht="23">
      <c r="A24" s="31"/>
      <c r="B24" s="33" t="str">
        <f ca="1">OFFSET(L!$C$1,MATCH("Declaration"&amp;ADDRESS(ROW(),COLUMN(),4),L!$A:$A,0)-1,SL,,)</f>
        <v>Email - Authorizer (*):</v>
      </c>
      <c r="C24" s="66"/>
      <c r="D24" s="482" t="s">
        <v>20359</v>
      </c>
      <c r="E24" s="433"/>
      <c r="F24" s="433"/>
      <c r="G24" s="433"/>
      <c r="H24" s="433"/>
      <c r="I24" s="433"/>
      <c r="J24" s="434"/>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5" t="s">
        <v>20360</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5">
        <v>46132</v>
      </c>
      <c r="E26" s="436"/>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04" t="s">
        <v>25</v>
      </c>
      <c r="E31" s="405"/>
      <c r="F31" s="8"/>
      <c r="G31" s="406" t="s">
        <v>20361</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Nickel(*)</v>
      </c>
      <c r="C33" s="28"/>
      <c r="D33" s="404" t="s">
        <v>25</v>
      </c>
      <c r="E33" s="405"/>
      <c r="F33" s="8"/>
      <c r="G33" s="406" t="s">
        <v>20362</v>
      </c>
      <c r="H33" s="407"/>
      <c r="I33" s="407"/>
      <c r="J33" s="408"/>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3">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3">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Nickel</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Nickel(*)</v>
      </c>
      <c r="C45" s="28"/>
      <c r="D45" s="404" t="s">
        <v>25</v>
      </c>
      <c r="E45" s="405"/>
      <c r="F45" s="8"/>
      <c r="G45" s="406"/>
      <c r="H45" s="407"/>
      <c r="I45" s="407"/>
      <c r="J45" s="408"/>
      <c r="K45" s="29"/>
      <c r="L45" s="104"/>
      <c r="M45">
        <f t="shared" si="38"/>
        <v>0</v>
      </c>
      <c r="P45" s="299" t="str">
        <f t="shared" si="47"/>
        <v>(*)</v>
      </c>
      <c r="R45" s="2"/>
      <c r="S45" s="300" t="str">
        <f t="shared" si="48"/>
        <v>Nickel</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Nickel(*)</v>
      </c>
      <c r="C57" s="6"/>
      <c r="D57" s="404" t="s">
        <v>22</v>
      </c>
      <c r="E57" s="405"/>
      <c r="F57" s="40"/>
      <c r="G57" s="406"/>
      <c r="H57" s="407"/>
      <c r="I57" s="407"/>
      <c r="J57" s="408"/>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3">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Nickel(*)</v>
      </c>
      <c r="C69" s="6"/>
      <c r="D69" s="404" t="s">
        <v>22</v>
      </c>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20363</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Nickel(*)</v>
      </c>
      <c r="C81" s="28"/>
      <c r="D81" s="404" t="s">
        <v>20363</v>
      </c>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Nickel(*)</v>
      </c>
      <c r="C93" s="6"/>
      <c r="D93" s="404" t="s">
        <v>25</v>
      </c>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Nickel(*)</v>
      </c>
      <c r="C105" s="28"/>
      <c r="D105" s="404" t="s">
        <v>25</v>
      </c>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Nickel(*)</v>
      </c>
      <c r="C123" s="6"/>
      <c r="D123" s="404" t="s">
        <v>25</v>
      </c>
      <c r="E123" s="405"/>
      <c r="F123" s="8"/>
      <c r="G123" s="406"/>
      <c r="H123" s="407"/>
      <c r="I123" s="407"/>
      <c r="J123" s="408"/>
      <c r="K123" s="29"/>
      <c r="L123" s="100"/>
      <c r="M123">
        <f>IF(AND(B123="",D123&lt;&gt;""),1,0)</f>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
      </c>
      <c r="C124" s="6"/>
      <c r="D124" s="404"/>
      <c r="E124" s="405"/>
      <c r="F124" s="8"/>
      <c r="G124" s="406"/>
      <c r="H124" s="407"/>
      <c r="I124" s="407"/>
      <c r="J124" s="408"/>
      <c r="K124" s="29"/>
      <c r="L124" s="100"/>
      <c r="M124">
        <f>IF(AND(B124="",D124&lt;&gt;""),1,0)</f>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B8B20B4C-A167-4A0D-8D15-082CEE3D2955}"/>
    <hyperlink ref="D24" r:id="rId2" xr:uid="{23C67889-9C3B-4854-98F8-25EF46F47D91}"/>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A8"/>
    </sheetView>
  </sheetViews>
  <sheetFormatPr baseColWidth="10"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3" t="str">
        <f ca="1">OFFSET(L!$C$1,MATCH("Smelter List"&amp;ADDRESS(ROW(),COLUMN(),4),L!$A:$A,0)-1,SL,,)</f>
        <v>Link to "RMAP Conformant Smelter List"</v>
      </c>
      <c r="K2" s="464"/>
      <c r="L2" s="464"/>
      <c r="M2" s="464"/>
      <c r="N2" s="464"/>
      <c r="O2" s="464"/>
      <c r="P2" s="161"/>
      <c r="Q2" s="162"/>
      <c r="R2" s="163"/>
      <c r="S2" s="163"/>
      <c r="T2" s="163"/>
      <c r="AB2" s="310"/>
      <c r="AH2" s="129" t="s">
        <v>25</v>
      </c>
    </row>
    <row r="3" spans="1:34" s="16" customFormat="1" ht="249.65"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4"/>
      <c r="G3" s="466" t="str">
        <f ca="1">OFFSET(L!$C$1,MATCH("General"&amp;"Cpy",L!$A:$A,0)-1,SL,,)</f>
        <v>© 2026 Responsible Minerals Initiative. All rights reserved.</v>
      </c>
      <c r="H3" s="467"/>
      <c r="I3" s="468"/>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
      <c r="A5" s="196" t="s">
        <v>20364</v>
      </c>
      <c r="B5" s="302" t="str">
        <f ca="1">IF(LEN(A5)=0,"",INDEX('Smelter Look-up'!$A:$A,MATCH($A5,'Smelter Look-up'!$E:$E,0)))</f>
        <v>Copper</v>
      </c>
      <c r="C5" s="151" t="str">
        <f ca="1">IF(LEN(A5)=0,"",INDEX('Smelter Look-up'!$C:$C,MATCH($A5,'Smelter Look-up'!$E:$E,0)))</f>
        <v>Toyo Smelter &amp; Refinery, Sumitomo Metal Mining</v>
      </c>
      <c r="D5" s="148"/>
      <c r="E5" s="148" t="str">
        <f ca="1">IF(ISERROR($V5),"",OFFSET('Smelter Look-up'!$D$4,$V5-4,0)&amp;"")</f>
        <v>JAPAN</v>
      </c>
      <c r="F5" s="148" t="str">
        <f ca="1">IF(ISERROR($V5),"",OFFSET('Smelter Look-up'!$E$4,$V5-4,0))</f>
        <v>CID003878</v>
      </c>
      <c r="G5" s="148" t="str">
        <f ca="1">IF(C5=$X$4,"Enter smelter details",IF(ISERROR($V5),"",OFFSET('Smelter Look-up'!$F$4,$V5-4,0)))</f>
        <v>RMI</v>
      </c>
      <c r="H5" s="204">
        <f ca="1">IF(ISERROR($V5),"",OFFSET('Smelter Look-up'!$G$4,$V5-4,0))</f>
        <v>0</v>
      </c>
      <c r="I5" s="205" t="str">
        <f ca="1">IF(ISERROR($V5),"",OFFSET('Smelter Look-up'!$H$4,$V5-4,0))</f>
        <v>Saijyo</v>
      </c>
      <c r="J5" s="205" t="str">
        <f ca="1">IF(ISERROR($V5),"",OFFSET('Smelter Look-up'!$I$4,$V5-4,0))</f>
        <v>Ehime</v>
      </c>
      <c r="K5" s="149"/>
      <c r="L5" s="149"/>
      <c r="M5" s="149"/>
      <c r="N5" s="149"/>
      <c r="O5" s="149"/>
      <c r="P5" s="207"/>
      <c r="Q5" s="150"/>
      <c r="R5" s="148" t="str">
        <f ca="1">IF(ISERROR($V5),"",OFFSET('Smelter Look-up'!$C$4,$V5-4,0)&amp;"")</f>
        <v>Toyo Smelter &amp; Refinery, Sumitomo Metal Mining</v>
      </c>
      <c r="S5" s="154" t="str">
        <f t="shared" ref="S5:S12" ca="1" si="0">IF(B5="","",IF(ISERROR(MATCH($E5,CL,0)),"Unknown",INDIRECT("'C'!$A$"&amp;MATCH($E5,CL,0)+1)))</f>
        <v>JP</v>
      </c>
      <c r="T5" s="154" t="str">
        <f ca="1">IF(B5="","",IF(ISERROR(MATCH($J5,SorP!$B$1:$B$6261,0)),"",INDIRECT("'SorP'!$A$"&amp;MATCH($S5&amp;$J5,SorP!C:C,0))))</f>
        <v>JP-38</v>
      </c>
      <c r="U5" s="167"/>
      <c r="V5" s="168">
        <f ca="1">IF(C5="",NA(),MATCH($B5&amp;$C5,'Smelter Look-up'!$J:$J,0))</f>
        <v>362</v>
      </c>
      <c r="X5" s="169">
        <f t="shared" ref="X5:X12" ca="1" si="1">IF(AND(C5="Smelter not listed",OR(LEN(D5)=0,LEN(E5)=0)),1,0)</f>
        <v>0</v>
      </c>
      <c r="AB5" s="312" t="str">
        <f t="shared" ref="AB5:AB12" ca="1" si="2">IF(C5="","",B5)</f>
        <v>Copper</v>
      </c>
      <c r="AC5" s="169" t="str">
        <f ca="1">B5</f>
        <v>Copper</v>
      </c>
      <c r="AD5" s="169" t="str">
        <f ca="1">IF(C5="Smelter not listed",D5,C5)</f>
        <v>Toyo Smelter &amp; Refinery, Sumitomo Metal Mining</v>
      </c>
    </row>
    <row r="6" spans="1:34" s="169" customFormat="1" ht="20">
      <c r="A6" s="196" t="s">
        <v>20365</v>
      </c>
      <c r="B6" s="302" t="str">
        <f ca="1">IF(LEN(A6)=0,"",INDEX('Smelter Look-up'!$A:$A,MATCH($A6,'Smelter Look-up'!$E:$E,0)))</f>
        <v>Nickel</v>
      </c>
      <c r="C6" s="151" t="str">
        <f ca="1">IF(LEN(A6)=0,"",INDEX('Smelter Look-up'!$C:$C,MATCH($A6,'Smelter Look-up'!$E:$E,0)))</f>
        <v>PT DEBONAIR NICKEL INDONESIA</v>
      </c>
      <c r="D6" s="148"/>
      <c r="E6" s="148" t="str">
        <f ca="1">IF(ISERROR($V6),"",OFFSET('Smelter Look-up'!$D$4,$V6-4,0)&amp;"")</f>
        <v>INDONESIA</v>
      </c>
      <c r="F6" s="148" t="str">
        <f ca="1">IF(ISERROR($V6),"",OFFSET('Smelter Look-up'!$E$4,$V6-4,0))</f>
        <v>CID004693</v>
      </c>
      <c r="G6" s="148" t="str">
        <f ca="1">IF(C6=$X$4,"Enter smelter details",IF(ISERROR($V6),"",OFFSET('Smelter Look-up'!$F$4,$V6-4,0)))</f>
        <v>RMI</v>
      </c>
      <c r="H6" s="204">
        <f ca="1">IF(ISERROR($V6),"",OFFSET('Smelter Look-up'!$G$4,$V6-4,0))</f>
        <v>0</v>
      </c>
      <c r="I6" s="205" t="str">
        <f ca="1">IF(ISERROR($V6),"",OFFSET('Smelter Look-up'!$H$4,$V6-4,0))</f>
        <v>Weda Tengah</v>
      </c>
      <c r="J6" s="205" t="str">
        <f ca="1">IF(ISERROR($V6),"",OFFSET('Smelter Look-up'!$I$4,$V6-4,0))</f>
        <v>Maluku Utara</v>
      </c>
      <c r="K6" s="149"/>
      <c r="L6" s="149"/>
      <c r="M6" s="149"/>
      <c r="N6" s="149"/>
      <c r="O6" s="149"/>
      <c r="P6" s="207"/>
      <c r="Q6" s="150"/>
      <c r="R6" s="148" t="str">
        <f ca="1">IF(ISERROR($V6),"",OFFSET('Smelter Look-up'!$C$4,$V6-4,0)&amp;"")</f>
        <v>PT DEBONAIR NICKEL INDONESIA</v>
      </c>
      <c r="S6" s="154" t="str">
        <f t="shared" ca="1" si="0"/>
        <v>ID</v>
      </c>
      <c r="T6" s="154" t="str">
        <f ca="1">IF(B6="","",IF(ISERROR(MATCH($J6,SorP!$B$1:$B$6261,0)),"",INDIRECT("'SorP'!$A$"&amp;MATCH($S6&amp;$J6,SorP!C:C,0))))</f>
        <v>ID-MU</v>
      </c>
      <c r="U6" s="167"/>
      <c r="V6" s="168">
        <f ca="1">IF(C6="",NA(),MATCH($B6&amp;$C6,'Smelter Look-up'!$J:$J,0))</f>
        <v>568</v>
      </c>
      <c r="X6" s="169">
        <f t="shared" ca="1" si="1"/>
        <v>0</v>
      </c>
      <c r="AB6" s="312" t="str">
        <f t="shared" ca="1" si="2"/>
        <v>Nickel</v>
      </c>
      <c r="AC6" s="169" t="str">
        <f t="shared" ref="AC6:AC69" ca="1" si="3">B6</f>
        <v>Nickel</v>
      </c>
      <c r="AD6" s="169" t="str">
        <f t="shared" ref="AD6:AD69" ca="1" si="4">IF(C6="Smelter not listed",D6,C6)</f>
        <v>PT DEBONAIR NICKEL INDONESIA</v>
      </c>
    </row>
    <row r="7" spans="1:34" s="169" customFormat="1" ht="20">
      <c r="A7" s="196" t="s">
        <v>20366</v>
      </c>
      <c r="B7" s="302" t="str">
        <f ca="1">IF(LEN(A7)=0,"",INDEX('Smelter Look-up'!$A:$A,MATCH($A7,'Smelter Look-up'!$E:$E,0)))</f>
        <v>Nickel</v>
      </c>
      <c r="C7" s="151" t="str">
        <f ca="1">IF(LEN(A7)=0,"",INDEX('Smelter Look-up'!$C:$C,MATCH($A7,'Smelter Look-up'!$E:$E,0)))</f>
        <v>Dynatec Madagascar Company</v>
      </c>
      <c r="D7" s="148"/>
      <c r="E7" s="148" t="str">
        <f ca="1">IF(ISERROR($V7),"",OFFSET('Smelter Look-up'!$D$4,$V7-4,0)&amp;"")</f>
        <v>MADAGASCAR</v>
      </c>
      <c r="F7" s="148" t="str">
        <f ca="1">IF(ISERROR($V7),"",OFFSET('Smelter Look-up'!$E$4,$V7-4,0))</f>
        <v>CID003968</v>
      </c>
      <c r="G7" s="148" t="str">
        <f ca="1">IF(C7=$X$4,"Enter smelter details",IF(ISERROR($V7),"",OFFSET('Smelter Look-up'!$F$4,$V7-4,0)))</f>
        <v>RMI</v>
      </c>
      <c r="H7" s="204">
        <f ca="1">IF(ISERROR($V7),"",OFFSET('Smelter Look-up'!$G$4,$V7-4,0))</f>
        <v>0</v>
      </c>
      <c r="I7" s="205" t="str">
        <f ca="1">IF(ISERROR($V7),"",OFFSET('Smelter Look-up'!$H$4,$V7-4,0))</f>
        <v>Toamasina</v>
      </c>
      <c r="J7" s="205" t="str">
        <f ca="1">IF(ISERROR($V7),"",OFFSET('Smelter Look-up'!$I$4,$V7-4,0))</f>
        <v>Toamasina</v>
      </c>
      <c r="K7" s="149"/>
      <c r="L7" s="149"/>
      <c r="M7" s="149"/>
      <c r="N7" s="149"/>
      <c r="O7" s="149"/>
      <c r="P7" s="207"/>
      <c r="Q7" s="150"/>
      <c r="R7" s="148" t="str">
        <f ca="1">IF(ISERROR($V7),"",OFFSET('Smelter Look-up'!$C$4,$V7-4,0)&amp;"")</f>
        <v>Dynatec Madagascar Company</v>
      </c>
      <c r="S7" s="154" t="str">
        <f t="shared" ca="1" si="0"/>
        <v>MG</v>
      </c>
      <c r="T7" s="154" t="str">
        <f ca="1">IF(B7="","",IF(ISERROR(MATCH($J7,SorP!$B$1:$B$6261,0)),"",INDIRECT("'SorP'!$A$"&amp;MATCH($S7&amp;$J7,SorP!C:C,0))))</f>
        <v>MG-A</v>
      </c>
      <c r="U7" s="167"/>
      <c r="V7" s="168">
        <f ca="1">IF(C7="",NA(),MATCH($B7&amp;$C7,'Smelter Look-up'!$J:$J,0))</f>
        <v>518</v>
      </c>
      <c r="X7" s="169">
        <f t="shared" ca="1" si="1"/>
        <v>0</v>
      </c>
      <c r="AB7" s="312" t="str">
        <f t="shared" ca="1" si="2"/>
        <v>Nickel</v>
      </c>
      <c r="AC7" s="169" t="str">
        <f t="shared" ca="1" si="3"/>
        <v>Nickel</v>
      </c>
      <c r="AD7" s="169" t="str">
        <f t="shared" ca="1" si="4"/>
        <v>Dynatec Madagascar Company</v>
      </c>
    </row>
    <row r="8" spans="1:34" s="169" customFormat="1" ht="20">
      <c r="A8" s="196" t="s">
        <v>20367</v>
      </c>
      <c r="B8" s="302" t="str">
        <f ca="1">IF(LEN(A8)=0,"",INDEX('Smelter Look-up'!$A:$A,MATCH($A8,'Smelter Look-up'!$E:$E,0)))</f>
        <v>Nickel</v>
      </c>
      <c r="C8" s="151" t="str">
        <f ca="1">IF(LEN(A8)=0,"",INDEX('Smelter Look-up'!$C:$C,MATCH($A8,'Smelter Look-up'!$E:$E,0)))</f>
        <v>Hunan Brunp Recycling Technology Co., Ltd.</v>
      </c>
      <c r="D8" s="148"/>
      <c r="E8" s="148" t="str">
        <f ca="1">IF(ISERROR($V8),"",OFFSET('Smelter Look-up'!$D$4,$V8-4,0)&amp;"")</f>
        <v>CHINA</v>
      </c>
      <c r="F8" s="148" t="str">
        <f ca="1">IF(ISERROR($V8),"",OFFSET('Smelter Look-up'!$E$4,$V8-4,0))</f>
        <v>CID003975</v>
      </c>
      <c r="G8" s="148" t="str">
        <f ca="1">IF(C8=$X$4,"Enter smelter details",IF(ISERROR($V8),"",OFFSET('Smelter Look-up'!$F$4,$V8-4,0)))</f>
        <v>RMI</v>
      </c>
      <c r="H8" s="204">
        <f ca="1">IF(ISERROR($V8),"",OFFSET('Smelter Look-up'!$G$4,$V8-4,0))</f>
        <v>0</v>
      </c>
      <c r="I8" s="205" t="str">
        <f ca="1">IF(ISERROR($V8),"",OFFSET('Smelter Look-up'!$H$4,$V8-4,0))</f>
        <v>Changsha</v>
      </c>
      <c r="J8" s="205" t="str">
        <f ca="1">IF(ISERROR($V8),"",OFFSET('Smelter Look-up'!$I$4,$V8-4,0))</f>
        <v>Hunan Sheng</v>
      </c>
      <c r="K8" s="149"/>
      <c r="L8" s="149"/>
      <c r="M8" s="149"/>
      <c r="N8" s="149"/>
      <c r="O8" s="149"/>
      <c r="P8" s="207"/>
      <c r="Q8" s="150"/>
      <c r="R8" s="148" t="str">
        <f ca="1">IF(ISERROR($V8),"",OFFSET('Smelter Look-up'!$C$4,$V8-4,0)&amp;"")</f>
        <v>Hunan Brunp Recycling Technology Co., Ltd.</v>
      </c>
      <c r="S8" s="154" t="str">
        <f t="shared" ca="1" si="0"/>
        <v>CN</v>
      </c>
      <c r="T8" s="154" t="str">
        <f ca="1">IF(B8="","",IF(ISERROR(MATCH($J8,SorP!$B$1:$B$6261,0)),"",INDIRECT("'SorP'!$A$"&amp;MATCH($S8&amp;$J8,SorP!C:C,0))))</f>
        <v>CN-HN</v>
      </c>
      <c r="U8" s="167"/>
      <c r="V8" s="168">
        <f ca="1">IF(C8="",NA(),MATCH($B8&amp;$C8,'Smelter Look-up'!$J:$J,0))</f>
        <v>535</v>
      </c>
      <c r="X8" s="169">
        <f t="shared" ca="1" si="1"/>
        <v>0</v>
      </c>
      <c r="AB8" s="312" t="str">
        <f t="shared" ca="1" si="2"/>
        <v>Nickel</v>
      </c>
      <c r="AC8" s="169" t="str">
        <f t="shared" ca="1" si="3"/>
        <v>Nickel</v>
      </c>
      <c r="AD8" s="169" t="str">
        <f t="shared" ca="1" si="4"/>
        <v>Hunan Brunp Recycling Technology Co., Ltd.</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7" t="str">
        <f ca="1">OFFSET(L!$C$1,MATCH("Checker"&amp;ADDRESS(ROW(),COLUMN(),4),L!$A:$A,0)-1,SL,,)</f>
        <v>Required fields remaining to be completed</v>
      </c>
      <c r="E1" s="16" t="s">
        <v>18</v>
      </c>
    </row>
    <row r="2" spans="1:10" ht="1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E-tec Interconnect Asia Co., Ltd. / E-tec Interconnect AG / EMC electro mechanical components GmbH</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Fabian Girolstein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f.girolstein@emc.de</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+49612693950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Ryan Chou</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ryan.chou@e-tec-asia.com.tw</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46132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Nickel(*)</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79" t="str">
        <f>Declaration!B45</f>
        <v>Nickel(*)</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Nickel(*)</v>
      </c>
      <c r="B42" s="78" t="str">
        <f>Declaration!D57</f>
        <v>No</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Nickel(*)</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Nickel(*)</v>
      </c>
      <c r="B64" s="78" t="str">
        <f>Declaration!D81</f>
        <v>100%</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Nickel(*)</v>
      </c>
      <c r="B75" s="78" t="str">
        <f>Declaration!D93</f>
        <v>Yes</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Nickel(*)</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Nickel(*)</v>
      </c>
      <c r="B101" s="78" t="str">
        <f>Declaration!D123</f>
        <v>Yes</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0</v>
      </c>
      <c r="G114" s="61">
        <f ca="1">IF(AND(COUNTIF(SmelterIdetifiedForMetal,A114)&gt;0,COUNTIF('Smelter List'!AB$5:AB$2504,A114)&gt;0),0,1)</f>
        <v>1</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Nickel</v>
      </c>
      <c r="B117" s="78"/>
      <c r="C117" s="135" t="str">
        <f t="shared" ca="1" si="49"/>
        <v>Complete</v>
      </c>
      <c r="D117" s="376" t="str">
        <f t="shared" ca="1" si="51"/>
        <v/>
      </c>
      <c r="E117" s="16"/>
      <c r="F117" s="83">
        <f t="shared" si="52"/>
        <v>1</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0" t="str">
        <f ca="1">OFFSET(L!$C$1,MATCH("Mine List"&amp;ADDRESS(ROW(),COLUMN(),4),L!$A:$A,0)-1,SL,,)</f>
        <v>TO BEGIN:</v>
      </c>
      <c r="C2" s="470" t="s">
        <v>18593</v>
      </c>
      <c r="D2" s="470" t="s">
        <v>18593</v>
      </c>
      <c r="E2" s="324"/>
      <c r="F2" s="324"/>
      <c r="G2" s="325"/>
      <c r="H2" s="471"/>
      <c r="I2" s="472"/>
      <c r="J2" s="472"/>
      <c r="K2" s="472"/>
      <c r="L2" s="472"/>
      <c r="M2" s="472"/>
      <c r="N2" s="326"/>
      <c r="O2" s="326"/>
    </row>
    <row r="3" spans="1:19" s="322" customFormat="1" ht="94" customHeight="1" thickBot="1">
      <c r="A3" s="358"/>
      <c r="B3" s="473"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18593</v>
      </c>
      <c r="D3" s="473" t="s">
        <v>18593</v>
      </c>
      <c r="E3" s="474" t="str">
        <f ca="1">OFFSET(L!$C$1,MATCH("General"&amp;"Cpy",L!$A:$A,0)-1,SL,,)</f>
        <v>© 2026 Responsible Minerals Initiative. All rights reserved.</v>
      </c>
      <c r="F3" s="474"/>
      <c r="G3" s="475"/>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7" t="str">
        <f ca="1">OFFSET(L!$C$1,MATCH("Product List"&amp;ADDRESS(ROW(),COLUMN(),4),L!$A:$A,0)-1,SL,,)</f>
        <v>Completion required only if reporting level "Product (or List of Products)" selected on the 'Declaration' worksheet.</v>
      </c>
      <c r="B1" s="478"/>
      <c r="C1" s="478"/>
      <c r="D1" s="478"/>
      <c r="E1" s="478"/>
      <c r="F1" s="478"/>
      <c r="G1" s="106"/>
    </row>
    <row r="2" spans="1:37">
      <c r="A2" s="19"/>
      <c r="B2" s="108"/>
      <c r="C2" s="108"/>
      <c r="D2" s="108"/>
      <c r="E2" s="108"/>
      <c r="F2"/>
      <c r="G2" s="20"/>
    </row>
    <row r="3" spans="1:37">
      <c r="A3" s="19"/>
      <c r="B3" s="108"/>
      <c r="C3" s="108"/>
      <c r="D3" s="108"/>
      <c r="E3" s="108"/>
      <c r="F3" s="108"/>
      <c r="G3" s="20"/>
    </row>
    <row r="4" spans="1:37" ht="15.75" customHeight="1">
      <c r="A4" s="19"/>
      <c r="B4" s="476" t="s">
        <v>47</v>
      </c>
      <c r="C4" s="476"/>
      <c r="D4" s="476"/>
      <c r="E4" s="476"/>
      <c r="F4" s="476"/>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9" t="str">
        <f ca="1">OFFSET(L!$C$1,MATCH("General"&amp;"Cpy",L!$A:$A,0)-1,SL,,)</f>
        <v>© 2026 Responsible Minerals Initiative. All rights reserved.</v>
      </c>
      <c r="C1001" s="479"/>
      <c r="D1001" s="479"/>
      <c r="E1001" s="479"/>
      <c r="F1001" s="479"/>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topLeftCell="D1" zoomScaleNormal="100" workbookViewId="0">
      <pane ySplit="4" topLeftCell="A24" activePane="bottomLeft" state="frozen"/>
      <selection activeCell="B24" sqref="B24:J24"/>
      <selection pane="bottomLeft" activeCell="I42" sqref="I42"/>
    </sheetView>
  </sheetViews>
  <sheetFormatPr baseColWidth="10"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Fabian Girolstein</cp:lastModifiedBy>
  <cp:revision/>
  <dcterms:created xsi:type="dcterms:W3CDTF">2010-06-21T21:00:23Z</dcterms:created>
  <dcterms:modified xsi:type="dcterms:W3CDTF">2026-04-20T05:26:08Z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